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356" windowWidth="9720" windowHeight="7320" tabRatio="934" activeTab="3"/>
  </bookViews>
  <sheets>
    <sheet name="Electrical Items 2" sheetId="1" r:id="rId1"/>
    <sheet name="Electrical Items 1" sheetId="2" r:id="rId2"/>
    <sheet name="Benefit factor" sheetId="3" r:id="rId3"/>
    <sheet name="Labour Cost" sheetId="4" r:id="rId4"/>
    <sheet name="Equip. Rental Rate" sheetId="5" r:id="rId5"/>
    <sheet name="Overhead &amp; profit" sheetId="6" r:id="rId6"/>
    <sheet name="Material price" sheetId="7" r:id="rId7"/>
    <sheet name="Cost break dow." sheetId="8" r:id="rId8"/>
    <sheet name="GRAND SUM" sheetId="9" r:id="rId9"/>
    <sheet name="Commercial Block" sheetId="10" r:id="rId10"/>
    <sheet name="Residential Block" sheetId="11" r:id="rId11"/>
    <sheet name="Trans &amp;gener. House" sheetId="12" r:id="rId12"/>
    <sheet name="Site Work" sheetId="13" r:id="rId13"/>
    <sheet name="Connection Block" sheetId="14" r:id="rId14"/>
  </sheets>
  <externalReferences>
    <externalReference r:id="rId17"/>
    <externalReference r:id="rId18"/>
    <externalReference r:id="rId19"/>
  </externalReferences>
  <definedNames>
    <definedName name="_xlnm.Print_Area" localSheetId="9">'Commercial Block'!$A$1:$F$1163</definedName>
    <definedName name="_xlnm.Print_Area" localSheetId="7">'Cost break dow.'!$A$1:$V$940</definedName>
    <definedName name="_xlnm.Print_Area" localSheetId="1">'Electrical Items 1'!$A$1:$D$36</definedName>
    <definedName name="_xlnm.Print_Area" localSheetId="0">'Electrical Items 2'!$A$1:$C$451</definedName>
    <definedName name="_xlnm.Print_Area" localSheetId="4">'Equip. Rental Rate'!$A$1:$AB$93</definedName>
    <definedName name="_xlnm.Print_Area" localSheetId="8">'GRAND SUM'!$A$1:$I$27</definedName>
    <definedName name="_xlnm.Print_Area" localSheetId="3">'Labour Cost'!$A$1:$G$30</definedName>
    <definedName name="_xlnm.Print_Area" localSheetId="6">'Material price'!$A$1:$G$387</definedName>
    <definedName name="_xlnm.Print_Area" localSheetId="10">'Residential Block'!$A$1:$F$899</definedName>
    <definedName name="_xlnm.Print_Area" localSheetId="12">'Site Work'!$A$1:$F$567</definedName>
    <definedName name="_xlnm.Print_Area" localSheetId="11">'Trans &amp;gener. House'!$A$1:$F$194</definedName>
    <definedName name="_xlnm.Print_Titles" localSheetId="9">'Commercial Block'!$43:$43</definedName>
    <definedName name="_xlnm.Print_Titles" localSheetId="13">'Connection Block'!$43:$43</definedName>
    <definedName name="_xlnm.Print_Titles" localSheetId="7">'Cost break dow.'!$1:$6</definedName>
    <definedName name="_xlnm.Print_Titles" localSheetId="0">'Electrical Items 2'!$3:$3</definedName>
    <definedName name="_xlnm.Print_Titles" localSheetId="4">'Equip. Rental Rate'!$1:$6</definedName>
    <definedName name="_xlnm.Print_Titles" localSheetId="6">'Material price'!$3:$5</definedName>
    <definedName name="_xlnm.Print_Titles" localSheetId="5">'Overhead &amp; profit'!$2:$4</definedName>
    <definedName name="_xlnm.Print_Titles" localSheetId="10">'Residential Block'!$43:$43</definedName>
    <definedName name="_xlnm.Print_Titles" localSheetId="12">'Site Work'!$21:$21</definedName>
    <definedName name="_xlnm.Print_Titles" localSheetId="11">'Trans &amp;gener. House'!$36:$36</definedName>
  </definedNames>
  <calcPr fullCalcOnLoad="1"/>
</workbook>
</file>

<file path=xl/comments3.xml><?xml version="1.0" encoding="utf-8"?>
<comments xmlns="http://schemas.openxmlformats.org/spreadsheetml/2006/main">
  <authors>
    <author>MICHAEL</author>
  </authors>
  <commentList>
    <comment ref="C5" authorId="0">
      <text>
        <r>
          <rPr>
            <b/>
            <sz val="8"/>
            <rFont val="Tahoma"/>
            <family val="2"/>
          </rPr>
          <t>MICHAEL:</t>
        </r>
        <r>
          <rPr>
            <sz val="8"/>
            <rFont val="Tahoma"/>
            <family val="2"/>
          </rPr>
          <t xml:space="preserve">
Average of 35 birr/days for 26 days</t>
        </r>
      </text>
    </comment>
  </commentList>
</comments>
</file>

<file path=xl/comments7.xml><?xml version="1.0" encoding="utf-8"?>
<comments xmlns="http://schemas.openxmlformats.org/spreadsheetml/2006/main">
  <authors>
    <author>MICHAEL</author>
    <author>Michaela</author>
  </authors>
  <commentList>
    <comment ref="B9" authorId="0">
      <text>
        <r>
          <rPr>
            <b/>
            <sz val="8"/>
            <rFont val="Tahoma"/>
            <family val="2"/>
          </rPr>
          <t>MICHAEL:</t>
        </r>
        <r>
          <rPr>
            <sz val="8"/>
            <rFont val="Tahoma"/>
            <family val="2"/>
          </rPr>
          <t xml:space="preserve">
Bole Bulbula 02 aggregate</t>
        </r>
      </text>
    </comment>
    <comment ref="B10" authorId="0">
      <text>
        <r>
          <rPr>
            <b/>
            <sz val="8"/>
            <rFont val="Tahoma"/>
            <family val="2"/>
          </rPr>
          <t>MICHAEL:</t>
        </r>
        <r>
          <rPr>
            <sz val="8"/>
            <rFont val="Tahoma"/>
            <family val="2"/>
          </rPr>
          <t xml:space="preserve">
Bole Bulbula</t>
        </r>
      </text>
    </comment>
    <comment ref="B11" authorId="0">
      <text>
        <r>
          <rPr>
            <b/>
            <sz val="8"/>
            <rFont val="Tahoma"/>
            <family val="2"/>
          </rPr>
          <t>MICHAEL:</t>
        </r>
        <r>
          <rPr>
            <sz val="8"/>
            <rFont val="Tahoma"/>
            <family val="2"/>
          </rPr>
          <t xml:space="preserve">
Bole Bulbula</t>
        </r>
      </text>
    </comment>
    <comment ref="B12" authorId="0">
      <text>
        <r>
          <rPr>
            <b/>
            <sz val="8"/>
            <rFont val="Tahoma"/>
            <family val="2"/>
          </rPr>
          <t>MICHAEL:</t>
        </r>
        <r>
          <rPr>
            <sz val="8"/>
            <rFont val="Tahoma"/>
            <family val="2"/>
          </rPr>
          <t xml:space="preserve">
Bole Bulbula</t>
        </r>
      </text>
    </comment>
    <comment ref="B8" authorId="0">
      <text>
        <r>
          <rPr>
            <b/>
            <sz val="8"/>
            <rFont val="Tahoma"/>
            <family val="2"/>
          </rPr>
          <t>MICHAEL:</t>
        </r>
        <r>
          <rPr>
            <sz val="8"/>
            <rFont val="Tahoma"/>
            <family val="2"/>
          </rPr>
          <t xml:space="preserve">
Informal from Legehar</t>
        </r>
      </text>
    </comment>
    <comment ref="G54" authorId="1">
      <text>
        <r>
          <rPr>
            <b/>
            <sz val="8"/>
            <rFont val="Tahoma"/>
            <family val="2"/>
          </rPr>
          <t>Michaela:</t>
        </r>
        <r>
          <rPr>
            <sz val="8"/>
            <rFont val="Tahoma"/>
            <family val="2"/>
          </rPr>
          <t xml:space="preserve">
Average price/kg</t>
        </r>
      </text>
    </comment>
    <comment ref="G62" authorId="1">
      <text>
        <r>
          <rPr>
            <b/>
            <sz val="8"/>
            <rFont val="Tahoma"/>
            <family val="2"/>
          </rPr>
          <t>Michaela:</t>
        </r>
        <r>
          <rPr>
            <sz val="8"/>
            <rFont val="Tahoma"/>
            <family val="2"/>
          </rPr>
          <t xml:space="preserve">
Average price/kg</t>
        </r>
      </text>
    </comment>
    <comment ref="G70" authorId="1">
      <text>
        <r>
          <rPr>
            <b/>
            <sz val="8"/>
            <rFont val="Tahoma"/>
            <family val="2"/>
          </rPr>
          <t>Michaela:</t>
        </r>
        <r>
          <rPr>
            <sz val="8"/>
            <rFont val="Tahoma"/>
            <family val="2"/>
          </rPr>
          <t xml:space="preserve">
Average price/kg</t>
        </r>
      </text>
    </comment>
    <comment ref="G78" authorId="1">
      <text>
        <r>
          <rPr>
            <b/>
            <sz val="8"/>
            <rFont val="Tahoma"/>
            <family val="2"/>
          </rPr>
          <t>Michaela:</t>
        </r>
        <r>
          <rPr>
            <sz val="8"/>
            <rFont val="Tahoma"/>
            <family val="2"/>
          </rPr>
          <t xml:space="preserve">
Average price/kg</t>
        </r>
      </text>
    </comment>
    <comment ref="G86" authorId="1">
      <text>
        <r>
          <rPr>
            <b/>
            <sz val="8"/>
            <rFont val="Tahoma"/>
            <family val="2"/>
          </rPr>
          <t>Michaela:</t>
        </r>
        <r>
          <rPr>
            <sz val="8"/>
            <rFont val="Tahoma"/>
            <family val="2"/>
          </rPr>
          <t xml:space="preserve">
Average price/kg</t>
        </r>
      </text>
    </comment>
    <comment ref="D41" authorId="1">
      <text>
        <r>
          <rPr>
            <b/>
            <sz val="8"/>
            <rFont val="Tahoma"/>
            <family val="2"/>
          </rPr>
          <t>Michaela:</t>
        </r>
        <r>
          <rPr>
            <sz val="8"/>
            <rFont val="Tahoma"/>
            <family val="2"/>
          </rPr>
          <t xml:space="preserve">
Average</t>
        </r>
      </text>
    </comment>
  </commentList>
</comments>
</file>

<file path=xl/comments8.xml><?xml version="1.0" encoding="utf-8"?>
<comments xmlns="http://schemas.openxmlformats.org/spreadsheetml/2006/main">
  <authors>
    <author>Michaela</author>
  </authors>
  <commentList>
    <comment ref="G292" authorId="0">
      <text>
        <r>
          <rPr>
            <b/>
            <sz val="8"/>
            <rFont val="Tahoma"/>
            <family val="2"/>
          </rPr>
          <t>Michaela:</t>
        </r>
        <r>
          <rPr>
            <sz val="8"/>
            <rFont val="Tahoma"/>
            <family val="2"/>
          </rPr>
          <t xml:space="preserve">
market price</t>
        </r>
      </text>
    </comment>
  </commentList>
</comments>
</file>

<file path=xl/sharedStrings.xml><?xml version="1.0" encoding="utf-8"?>
<sst xmlns="http://schemas.openxmlformats.org/spreadsheetml/2006/main" count="7947" uniqueCount="3337">
  <si>
    <t>"                 "                              "      2X60W D-280X280X120MM</t>
  </si>
  <si>
    <t>"                 "                              "      lX75W D-250X250X125MM</t>
  </si>
  <si>
    <t>"             "                      "   lX75W D-215MM</t>
  </si>
  <si>
    <t xml:space="preserve">     "           "                "           1X100W 270X270MM</t>
  </si>
  <si>
    <r>
      <t xml:space="preserve">     "           "                "         2X25W</t>
    </r>
    <r>
      <rPr>
        <sz val="11"/>
        <rFont val="Arial Narrow"/>
        <family val="2"/>
      </rPr>
      <t xml:space="preserve"> 310X80X95MM</t>
    </r>
  </si>
  <si>
    <r>
      <t>2(3x185/95+95mm</t>
    </r>
    <r>
      <rPr>
        <vertAlign val="superscript"/>
        <sz val="10"/>
        <rFont val="Arial"/>
        <family val="2"/>
      </rPr>
      <t>2</t>
    </r>
    <r>
      <rPr>
        <sz val="10"/>
        <rFont val="Arial"/>
        <family val="2"/>
      </rPr>
      <t xml:space="preserve">) mains incommer cable from Transformer </t>
    </r>
  </si>
  <si>
    <t>and Generator to ATS</t>
  </si>
  <si>
    <t>5.6.02</t>
  </si>
  <si>
    <r>
      <t>2(3x185/95+95mm</t>
    </r>
    <r>
      <rPr>
        <vertAlign val="superscript"/>
        <sz val="10"/>
        <rFont val="Arial"/>
        <family val="2"/>
      </rPr>
      <t>2</t>
    </r>
    <r>
      <rPr>
        <sz val="10"/>
        <rFont val="Arial"/>
        <family val="2"/>
      </rPr>
      <t>) feeder cable from ATS to CMDB</t>
    </r>
  </si>
  <si>
    <t>5.6.03</t>
  </si>
  <si>
    <r>
      <t>3x70/35+35mm</t>
    </r>
    <r>
      <rPr>
        <vertAlign val="superscript"/>
        <sz val="10"/>
        <rFont val="Arial"/>
        <family val="2"/>
      </rPr>
      <t>2</t>
    </r>
    <r>
      <rPr>
        <sz val="10"/>
        <rFont val="Arial"/>
        <family val="2"/>
      </rPr>
      <t xml:space="preserve"> feeder cable from CMDB to MDB-2-GF</t>
    </r>
  </si>
  <si>
    <t>5.6.04</t>
  </si>
  <si>
    <t xml:space="preserve">with 8 socket outlet, all fixing and cabling accessories.  </t>
  </si>
  <si>
    <r>
      <t>(</t>
    </r>
    <r>
      <rPr>
        <b/>
        <sz val="10"/>
        <rFont val="Arial"/>
        <family val="2"/>
      </rPr>
      <t>reserve space</t>
    </r>
    <r>
      <rPr>
        <sz val="10"/>
        <rFont val="Arial"/>
        <family val="2"/>
      </rPr>
      <t xml:space="preserve"> for future addition of active elements)</t>
    </r>
  </si>
  <si>
    <t>Patch panel in 19" steel enclosure with lockable door, PP-1F</t>
  </si>
  <si>
    <t xml:space="preserve">with 24 pcs RJ45 sockets, 8-wire distribution, CAT 6, including </t>
  </si>
  <si>
    <t>Patch panel in 19" steel enclosure with lockable door, PP-2F</t>
  </si>
  <si>
    <t xml:space="preserve">with 60 pcs RJ45 sockets, 8-wire distribution, CAT 6, including </t>
  </si>
  <si>
    <t>Patch panel in 19" steel enclosure with lockable door, PP-3F</t>
  </si>
  <si>
    <t xml:space="preserve">with 72 pcs RJ45 sockets, 8-wire distribution, CAT 6, including </t>
  </si>
  <si>
    <t xml:space="preserve">Toilet paper holder </t>
  </si>
  <si>
    <t>TRANSFORMER &amp; GENERATOR HOUSE</t>
  </si>
  <si>
    <t xml:space="preserve"> BIRR</t>
  </si>
  <si>
    <t xml:space="preserve">Plasterer </t>
  </si>
  <si>
    <r>
      <t>m</t>
    </r>
    <r>
      <rPr>
        <vertAlign val="superscript"/>
        <sz val="8"/>
        <rFont val="Arial"/>
        <family val="2"/>
      </rPr>
      <t>2</t>
    </r>
  </si>
  <si>
    <r>
      <t>m</t>
    </r>
    <r>
      <rPr>
        <vertAlign val="superscript"/>
        <sz val="8"/>
        <rFont val="Arial"/>
        <family val="2"/>
      </rPr>
      <t>3</t>
    </r>
  </si>
  <si>
    <t>The surface course shall consist of Bituminous asphalt as described below:</t>
  </si>
  <si>
    <r>
      <t>a) Bituminous prime coat shall be applied with a distributior at a rate of 2 kg/m</t>
    </r>
    <r>
      <rPr>
        <vertAlign val="superscript"/>
        <sz val="10"/>
        <rFont val="Arial"/>
        <family val="2"/>
      </rPr>
      <t>2</t>
    </r>
    <r>
      <rPr>
        <sz val="10"/>
        <rFont val="Arial"/>
        <family val="2"/>
      </rPr>
      <t>. The asphalt used shall be hot liquid asphalt AC 85/100.</t>
    </r>
  </si>
  <si>
    <r>
      <t>b) Immediatly following the distributor,agregate chippings of size 8 - 12 mm. at the rate of 22 kg/m</t>
    </r>
    <r>
      <rPr>
        <vertAlign val="superscript"/>
        <sz val="10"/>
        <rFont val="Arial"/>
        <family val="2"/>
      </rPr>
      <t>2</t>
    </r>
    <r>
      <rPr>
        <sz val="10"/>
        <rFont val="Arial"/>
        <family val="2"/>
      </rPr>
      <t xml:space="preserve"> shall be spread.</t>
    </r>
  </si>
  <si>
    <t>PRICE LIST OF RZB (DAMA TRADING)</t>
  </si>
  <si>
    <r>
      <t>3x25/16mm</t>
    </r>
    <r>
      <rPr>
        <vertAlign val="superscript"/>
        <sz val="10"/>
        <rFont val="Arial"/>
        <family val="2"/>
      </rPr>
      <t>2</t>
    </r>
    <r>
      <rPr>
        <sz val="10"/>
        <rFont val="Arial"/>
        <family val="2"/>
      </rPr>
      <t xml:space="preserve"> (1x1000)  STANDARD</t>
    </r>
  </si>
  <si>
    <t>Apply three coats of plastic paint to internal plastered wall surfaces.</t>
  </si>
  <si>
    <t>ELECTRICAL WORKS</t>
  </si>
  <si>
    <t>SUPPLY AND INSTALL</t>
  </si>
  <si>
    <r>
      <t>Ditto but fed through 5x2.5mm</t>
    </r>
    <r>
      <rPr>
        <vertAlign val="superscript"/>
        <sz val="10"/>
        <rFont val="Arial"/>
        <family val="2"/>
      </rPr>
      <t>2</t>
    </r>
    <r>
      <rPr>
        <sz val="10"/>
        <rFont val="Arial"/>
        <family val="2"/>
      </rPr>
      <t xml:space="preserve"> wires in PVC conduits of diameter 25mm</t>
    </r>
  </si>
  <si>
    <t>Gewiss eco range or equivalent with appropriate cover plate,frame and box.</t>
  </si>
  <si>
    <t>Telephone points only heavy duty rigid thermoplastic conduit of minimum diameter of 19mm as per local Telecomunication Authority's specification including junction boxes with cover, and pulling guy wires inside conduits.</t>
  </si>
  <si>
    <t>concealed rigid PVC conduits of diameter 16mm including switch points where indicated on the drawing. Price to include cost of wiring terminations, pull boxes and other necessary accessories.</t>
  </si>
  <si>
    <r>
      <t>Socket outlet points fed through PVC insulated wires 3x2.5mm</t>
    </r>
    <r>
      <rPr>
        <vertAlign val="superscript"/>
        <sz val="9"/>
        <rFont val="Arial"/>
        <family val="2"/>
      </rPr>
      <t>2</t>
    </r>
    <r>
      <rPr>
        <sz val="9"/>
        <rFont val="Arial"/>
        <family val="2"/>
      </rPr>
      <t xml:space="preserve">  in concealed PVC conduits of diameter 16mm. Price to  include cost of wiring termination, pull boxes and other necessay accessories</t>
    </r>
  </si>
  <si>
    <t>Tele terminal boxes of 100x100x100mm as per Telecomunication Authority's requirement.</t>
  </si>
  <si>
    <t xml:space="preserve"> "       20mm.      "         "</t>
  </si>
  <si>
    <t xml:space="preserve"> "       16mm.      "         "</t>
  </si>
  <si>
    <t xml:space="preserve"> "       14mm.      "         "</t>
  </si>
  <si>
    <t xml:space="preserve"> "       12mm.      "         "</t>
  </si>
  <si>
    <t>2</t>
  </si>
  <si>
    <t>BLOCK  WORK</t>
  </si>
  <si>
    <t>8 pcs  MCB of 16A, 1ph, Icu=6KA.</t>
  </si>
  <si>
    <t>5 pcs  MCB of 10A, 1ph, Icu=6KA.</t>
  </si>
  <si>
    <t>all complete with bus bar system of 200A and ample</t>
  </si>
  <si>
    <t xml:space="preserve">Flush mounted sub-distribution board, SDB-3-1F made of steel, </t>
  </si>
  <si>
    <t>1 pc    MCB of 16A, 3ph, Icu=10KA.</t>
  </si>
  <si>
    <t>13 pcs MCB of 10A, 1ph, Icu=6KA.</t>
  </si>
  <si>
    <t>1   pc   main MCB of 63A, 3ph, Icu=15KA.</t>
  </si>
  <si>
    <t>18 pcs MCB of 16A, 1ph, Icu=6KA.</t>
  </si>
  <si>
    <t>Concrete Works</t>
  </si>
  <si>
    <t>5.5.01</t>
  </si>
  <si>
    <t>Compound light fitting (EX-1) type RZB 581298.002</t>
  </si>
  <si>
    <t>Timber</t>
  </si>
  <si>
    <t>Eucalyptus pole</t>
  </si>
  <si>
    <t xml:space="preserve">Ditto to item number 10.2.2, approved quality gate valves on internal branch and main water pipes as shown on the drawing. </t>
  </si>
  <si>
    <t>Ditto but hand rail fixd to wall</t>
  </si>
  <si>
    <t>EGA 500 0.50mm. thick 71cm wide</t>
  </si>
  <si>
    <t>EGA 500 0.60mm. thick 71cm wide</t>
  </si>
  <si>
    <t>EGA 500 0.70mm. thick 71cm wide</t>
  </si>
  <si>
    <t>150x200x120mm as shown on drawings.</t>
  </si>
  <si>
    <t>9.8 CABLES</t>
  </si>
  <si>
    <t>PVC sheathed XLPE insulated cable 0.6/1KV</t>
  </si>
  <si>
    <r>
      <t>3x10mm</t>
    </r>
    <r>
      <rPr>
        <vertAlign val="superscript"/>
        <sz val="10"/>
        <rFont val="Arial"/>
        <family val="2"/>
      </rPr>
      <t>2</t>
    </r>
    <r>
      <rPr>
        <sz val="10"/>
        <rFont val="Arial"/>
        <family val="2"/>
      </rPr>
      <t xml:space="preserve"> from SDB-4-2F to SDB-4-2F-10</t>
    </r>
  </si>
  <si>
    <r>
      <t>3x10mm</t>
    </r>
    <r>
      <rPr>
        <vertAlign val="superscript"/>
        <sz val="10"/>
        <rFont val="Arial"/>
        <family val="2"/>
      </rPr>
      <t>2</t>
    </r>
    <r>
      <rPr>
        <sz val="10"/>
        <rFont val="Arial"/>
        <family val="2"/>
      </rPr>
      <t xml:space="preserve"> from SDB-4-3F to SDB-4-3F-1</t>
    </r>
  </si>
  <si>
    <r>
      <t>3x10mm</t>
    </r>
    <r>
      <rPr>
        <vertAlign val="superscript"/>
        <sz val="10"/>
        <rFont val="Arial"/>
        <family val="2"/>
      </rPr>
      <t>2</t>
    </r>
    <r>
      <rPr>
        <sz val="10"/>
        <rFont val="Arial"/>
        <family val="2"/>
      </rPr>
      <t xml:space="preserve"> from SDB-4-3F to SDB-4-3F-2</t>
    </r>
  </si>
  <si>
    <r>
      <t>3x10mm</t>
    </r>
    <r>
      <rPr>
        <vertAlign val="superscript"/>
        <sz val="10"/>
        <rFont val="Arial"/>
        <family val="2"/>
      </rPr>
      <t>2</t>
    </r>
    <r>
      <rPr>
        <sz val="10"/>
        <rFont val="Arial"/>
        <family val="2"/>
      </rPr>
      <t xml:space="preserve"> from SDB-4-3F to SDB-4-3F-3</t>
    </r>
  </si>
  <si>
    <t>Ditto but for SDB-1-6F-1 and consisting of:-</t>
  </si>
  <si>
    <t>Ditto but for SDB-1-6F-2 and consisting of:-</t>
  </si>
  <si>
    <t>Ditto but for SDB-1-9F-3 and consisting of:-</t>
  </si>
  <si>
    <t>40cm thick hard basaltic or equivalent stone masonry foundation wall bedded on cement mortar (1:4).</t>
  </si>
  <si>
    <t>3.1</t>
  </si>
  <si>
    <t>1</t>
  </si>
  <si>
    <t>BLOCK   WORK</t>
  </si>
  <si>
    <t>200mm thick external and internal HCB wall bedded on cement mortar (1:3)</t>
  </si>
  <si>
    <t xml:space="preserve"> ROOFING</t>
  </si>
  <si>
    <t>Supply and fix diam 100mm PVC down pipe. Price shall include fixing accessories.</t>
  </si>
  <si>
    <t>4</t>
  </si>
  <si>
    <t xml:space="preserve"> METAL WORK</t>
  </si>
  <si>
    <t>5</t>
  </si>
  <si>
    <t>RHS and CIRCULAR TUBE</t>
  </si>
  <si>
    <t>Steel reinforcement according to structural drawing. Price shall include cutting, bending, placing in position and tying wires.</t>
  </si>
  <si>
    <t>kg</t>
  </si>
  <si>
    <t xml:space="preserve">  "      20mm.       "         "</t>
  </si>
  <si>
    <t xml:space="preserve">  "      16mm.       "         "</t>
  </si>
  <si>
    <t xml:space="preserve">  "      14mm.       "         "</t>
  </si>
  <si>
    <t xml:space="preserve">  "      12mm.       "         "</t>
  </si>
  <si>
    <t xml:space="preserve">  "       8mm.       "         "</t>
  </si>
  <si>
    <t>ml</t>
  </si>
  <si>
    <t>Total carried to summary  Birr</t>
  </si>
  <si>
    <t>9.1.23</t>
  </si>
  <si>
    <t>9.1.24</t>
  </si>
  <si>
    <t>9.1.25</t>
  </si>
  <si>
    <t>9.1.26</t>
  </si>
  <si>
    <t>9.1.27</t>
  </si>
  <si>
    <t>9.1.28</t>
  </si>
  <si>
    <t>9.1.29</t>
  </si>
  <si>
    <t>9.1.30</t>
  </si>
  <si>
    <t>9.1.31</t>
  </si>
  <si>
    <t>9.1.32</t>
  </si>
  <si>
    <t>9.1.33</t>
  </si>
  <si>
    <t>9.1.34</t>
  </si>
  <si>
    <t>9.1.35</t>
  </si>
  <si>
    <t>9.1.36</t>
  </si>
  <si>
    <t>9.1.37</t>
  </si>
  <si>
    <t>9.1.38</t>
  </si>
  <si>
    <t>9.1.39</t>
  </si>
  <si>
    <t>12 cm thick brick wall</t>
  </si>
  <si>
    <t>25 cm thick brick wall</t>
  </si>
  <si>
    <t xml:space="preserve"> D12 size  700 x 3100mm </t>
  </si>
  <si>
    <t xml:space="preserve"> D13 size  1000 x 3100mm </t>
  </si>
  <si>
    <t>Apply two coats of plaster in cement mortar (1.3) to receive gypsum to R.C. soffit</t>
  </si>
  <si>
    <t>Ditto but for SDB-4-2F-4 and consisting of:-</t>
  </si>
  <si>
    <t>3 pcs MCB of 16A, 1ph, Icu=6KA.</t>
  </si>
  <si>
    <t>200mm.thick HCB wall (class A) bedded in cement sand mortar mix (1:3).</t>
  </si>
  <si>
    <t>Ditto but 150mm thick.</t>
  </si>
  <si>
    <t>Ditto but 100mm thick.</t>
  </si>
  <si>
    <t>Spread and level average 100mm thick light weight concrete.</t>
  </si>
  <si>
    <t>30mm thick cement sand screed (1:3) over light weight concrete.</t>
  </si>
  <si>
    <r>
      <t>3x185/95+95mm</t>
    </r>
    <r>
      <rPr>
        <vertAlign val="superscript"/>
        <sz val="10"/>
        <rFont val="Arial"/>
        <family val="2"/>
      </rPr>
      <t>2</t>
    </r>
    <r>
      <rPr>
        <sz val="10"/>
        <rFont val="Arial"/>
        <family val="2"/>
      </rPr>
      <t xml:space="preserve"> feeder cable from CMDB to MDB-4-GF</t>
    </r>
  </si>
  <si>
    <t>5.6.06</t>
  </si>
  <si>
    <r>
      <t>5x6mm</t>
    </r>
    <r>
      <rPr>
        <vertAlign val="superscript"/>
        <sz val="10"/>
        <rFont val="Arial"/>
        <family val="2"/>
      </rPr>
      <t>2</t>
    </r>
    <r>
      <rPr>
        <sz val="10"/>
        <rFont val="Arial"/>
        <family val="2"/>
      </rPr>
      <t xml:space="preserve"> feeder cable from CMDB to SDB-GEN</t>
    </r>
  </si>
  <si>
    <t>5.6.07</t>
  </si>
  <si>
    <r>
      <t>5x6mm</t>
    </r>
    <r>
      <rPr>
        <vertAlign val="superscript"/>
        <sz val="10"/>
        <rFont val="Arial"/>
        <family val="2"/>
      </rPr>
      <t>2</t>
    </r>
    <r>
      <rPr>
        <sz val="10"/>
        <rFont val="Arial"/>
        <family val="2"/>
      </rPr>
      <t xml:space="preserve"> feeder cable from CMDB to SDB-SEC-2</t>
    </r>
  </si>
  <si>
    <t>5.6.08</t>
  </si>
  <si>
    <r>
      <t>3x6mm</t>
    </r>
    <r>
      <rPr>
        <vertAlign val="superscript"/>
        <sz val="10"/>
        <rFont val="Arial"/>
        <family val="2"/>
      </rPr>
      <t>2</t>
    </r>
    <r>
      <rPr>
        <sz val="10"/>
        <rFont val="Arial"/>
        <family val="2"/>
      </rPr>
      <t xml:space="preserve"> feeders cable from SDB-1-GF-COM to SDB-SEC-1</t>
    </r>
  </si>
  <si>
    <t>5.6.09</t>
  </si>
  <si>
    <r>
      <t>3x4mm</t>
    </r>
    <r>
      <rPr>
        <vertAlign val="superscript"/>
        <sz val="10"/>
        <rFont val="Arial"/>
        <family val="2"/>
      </rPr>
      <t>2</t>
    </r>
    <r>
      <rPr>
        <sz val="10"/>
        <rFont val="Arial"/>
        <family val="2"/>
      </rPr>
      <t xml:space="preserve"> feeders cable from SDB-SEC-2 to (EX-1) lights</t>
    </r>
  </si>
  <si>
    <t>5.6.10</t>
  </si>
  <si>
    <r>
      <t>5x4mm</t>
    </r>
    <r>
      <rPr>
        <vertAlign val="superscript"/>
        <sz val="10"/>
        <rFont val="Arial"/>
        <family val="2"/>
      </rPr>
      <t>2</t>
    </r>
    <r>
      <rPr>
        <sz val="10"/>
        <rFont val="Arial"/>
        <family val="2"/>
      </rPr>
      <t xml:space="preserve"> feeders cable from SDB-SEC-2 to (EX-2 &amp; EX-3) lights</t>
    </r>
  </si>
  <si>
    <t>5.6.11</t>
  </si>
  <si>
    <t>250x250x20mm terrazzo flooring bedded and jointed in cement mortar (1:3).Price shall include polishing,grouting with matching colour and all other incidental works.</t>
  </si>
  <si>
    <t>Ditto but 200x200x20mm ceramic flooring.</t>
  </si>
  <si>
    <t>RECTANGULAR CLOSED TRUNKING FOR UNDER  FLOOR SYSTEM</t>
  </si>
  <si>
    <r>
      <t xml:space="preserve">Price to include </t>
    </r>
    <r>
      <rPr>
        <b/>
        <sz val="10"/>
        <rFont val="Arial"/>
        <family val="2"/>
      </rPr>
      <t>LINEAR JOINTS, END CAPS, FLAT CURVE 45</t>
    </r>
    <r>
      <rPr>
        <b/>
        <vertAlign val="superscript"/>
        <sz val="10"/>
        <rFont val="Arial"/>
        <family val="2"/>
      </rPr>
      <t>0</t>
    </r>
    <r>
      <rPr>
        <b/>
        <sz val="10"/>
        <rFont val="Arial"/>
        <family val="2"/>
      </rPr>
      <t xml:space="preserve">, </t>
    </r>
  </si>
  <si>
    <t>SITE  WORK</t>
  </si>
  <si>
    <t>Three coats of plaster in cement mortar (1:3) up to fine finish to internal wall surface and external R.C   beams.</t>
  </si>
  <si>
    <t>6</t>
  </si>
  <si>
    <t>6.1</t>
  </si>
  <si>
    <t>Supply and fix 5mm thick clear glass to metal doors and windows. Price shall include fixing accessories.</t>
  </si>
  <si>
    <t>7</t>
  </si>
  <si>
    <t>7.1</t>
  </si>
  <si>
    <t>Apply three coats of approved type plastic paint to all plastered wall surface.</t>
  </si>
  <si>
    <t>250x250x20mm terrazzo tile flooring bedded on cement sand mortar (1:3).</t>
  </si>
  <si>
    <t xml:space="preserve">Apply two coats of plaster in cement mortar (1.3) to exter wall tiles. </t>
  </si>
  <si>
    <t>pcs</t>
  </si>
  <si>
    <t>In 300mm thick ribbed slab</t>
  </si>
  <si>
    <t xml:space="preserve"> TOTAL</t>
  </si>
  <si>
    <t>CONNECTION BLOCK</t>
  </si>
  <si>
    <t>Diam 24 mm Deformed bar.</t>
  </si>
  <si>
    <t>"        20mm        "         "</t>
  </si>
  <si>
    <t xml:space="preserve">  "      8mm.       "         "</t>
  </si>
  <si>
    <t xml:space="preserve">Diam.24mm.deformed bar.  </t>
  </si>
  <si>
    <t xml:space="preserve">  "      20mm.      "         "</t>
  </si>
  <si>
    <t xml:space="preserve"> "       8mm.      "         "</t>
  </si>
  <si>
    <t>Apply gypsum plaster to R.C. ceiling indicated on the drawings.Price shall include all the necessary works.</t>
  </si>
  <si>
    <t>Apply mineral plaster quartz to walls indicated on the drawings.Price shall include all the necessary works.</t>
  </si>
  <si>
    <t>Apply mineral plaster  to walls indicated on the drawings.Price shall include all the necessary works.</t>
  </si>
  <si>
    <t>Supply and fix 100x20mm terrazzo skirting with cement sand mortar backing (1:3).</t>
  </si>
  <si>
    <t xml:space="preserve"> WD1 size 5850 x 3100mm</t>
  </si>
  <si>
    <t xml:space="preserve"> WD2 size 6058 x 3100mm</t>
  </si>
  <si>
    <t xml:space="preserve"> WD19 size 5600 x 3100mm</t>
  </si>
  <si>
    <t>W1  size 1000x3100mm</t>
  </si>
  <si>
    <t>W2  size 5000x3100mm</t>
  </si>
  <si>
    <t>W5  size 700 x 1000 mm</t>
  </si>
  <si>
    <t>W14 size 1400 x 2200mm</t>
  </si>
  <si>
    <t>W26 size 1400 x 2200mm</t>
  </si>
  <si>
    <t>W27 size4250x 2200mm</t>
  </si>
  <si>
    <t>W31 size 2340 x 2200mm</t>
  </si>
  <si>
    <t>W32 size 4870x2200mm</t>
  </si>
  <si>
    <t>W33 size 7600x 2200mm</t>
  </si>
  <si>
    <t>W34size (2200x 2230)+(1990x2200)mm</t>
  </si>
  <si>
    <t>SUMMARY COMMERCIAL BLOCK</t>
  </si>
  <si>
    <t>SUMMARY RESIDENTIAL BLOCK</t>
  </si>
  <si>
    <t>SUMMARY SITE WORKS</t>
  </si>
  <si>
    <t>SUMMARY TRANSFORMER &amp; GENERATOR HOUSE</t>
  </si>
  <si>
    <t>A</t>
  </si>
  <si>
    <t>9.8 CABLE WAYS</t>
  </si>
  <si>
    <t>9.8.01</t>
  </si>
  <si>
    <t>9.8.02</t>
  </si>
  <si>
    <t>9.8.03</t>
  </si>
  <si>
    <t>9.8.04</t>
  </si>
  <si>
    <t>PVC pipes of diameter 32mm for connection of Tele teminal box to tele terminal box.</t>
  </si>
  <si>
    <t>9.10.01</t>
  </si>
  <si>
    <t>9.9 EQUIPMENT</t>
  </si>
  <si>
    <t>9.9.01</t>
  </si>
  <si>
    <t>9.10 EQUIPMENT POINTS</t>
  </si>
  <si>
    <t>Surface mounted sub-main distribution board, MDB-3-GF</t>
  </si>
  <si>
    <t>1 pc    main MCCB of 160A, 3ph, Icu=25KA.</t>
  </si>
  <si>
    <t>1 pc    MCB of 63A, 3ph, Icu=15KA.</t>
  </si>
  <si>
    <t>2 pcs  MCB of 50A, 3ph, Icu=15KA.</t>
  </si>
  <si>
    <t>25x250mm</t>
  </si>
  <si>
    <t>Flush Wooden door</t>
  </si>
  <si>
    <t>Carp. I</t>
  </si>
  <si>
    <r>
      <t>3x10mm</t>
    </r>
    <r>
      <rPr>
        <vertAlign val="superscript"/>
        <sz val="10"/>
        <rFont val="Arial"/>
        <family val="2"/>
      </rPr>
      <t>2</t>
    </r>
    <r>
      <rPr>
        <sz val="10"/>
        <rFont val="Arial"/>
        <family val="2"/>
      </rPr>
      <t xml:space="preserve"> from SDB-4-2F to SDB-4-2F-7</t>
    </r>
  </si>
  <si>
    <r>
      <t>3x10mm</t>
    </r>
    <r>
      <rPr>
        <vertAlign val="superscript"/>
        <sz val="10"/>
        <rFont val="Arial"/>
        <family val="2"/>
      </rPr>
      <t>2</t>
    </r>
    <r>
      <rPr>
        <sz val="10"/>
        <rFont val="Arial"/>
        <family val="2"/>
      </rPr>
      <t xml:space="preserve"> from SDB-4-2F to SDB-4-2F-8</t>
    </r>
  </si>
  <si>
    <r>
      <t>3x10mm</t>
    </r>
    <r>
      <rPr>
        <vertAlign val="superscript"/>
        <sz val="10"/>
        <rFont val="Arial"/>
        <family val="2"/>
      </rPr>
      <t>2</t>
    </r>
    <r>
      <rPr>
        <sz val="10"/>
        <rFont val="Arial"/>
        <family val="2"/>
      </rPr>
      <t xml:space="preserve"> from SDB-4-2F to SDB-4-2F-9</t>
    </r>
  </si>
  <si>
    <t>Ditto but hand rail fixed to wall.</t>
  </si>
  <si>
    <t>Dia 32</t>
  </si>
  <si>
    <t>GRAND SUMMARY</t>
  </si>
  <si>
    <t>I</t>
  </si>
  <si>
    <t xml:space="preserve">Anti rust </t>
  </si>
  <si>
    <t xml:space="preserve">Synthetic </t>
  </si>
  <si>
    <t>development len. 600mm.</t>
  </si>
  <si>
    <t>PVC LP* Dia. 110mm.</t>
  </si>
  <si>
    <r>
      <t>3</t>
    </r>
    <r>
      <rPr>
        <i/>
        <sz val="10"/>
        <rFont val="Times New Roman"/>
        <family val="1"/>
      </rPr>
      <t>Average of Building Material Supply Enterprise and Ethiopian Iron and Steel Foundry (Akaki Beska)</t>
    </r>
  </si>
  <si>
    <r>
      <t>*LP</t>
    </r>
    <r>
      <rPr>
        <i/>
        <sz val="10"/>
        <rFont val="Times New Roman"/>
        <family val="1"/>
      </rPr>
      <t xml:space="preserve"> Low Preasure.</t>
    </r>
  </si>
  <si>
    <r>
      <t>*HP</t>
    </r>
    <r>
      <rPr>
        <i/>
        <sz val="10"/>
        <rFont val="Times New Roman"/>
        <family val="1"/>
      </rPr>
      <t xml:space="preserve"> High Preasure.</t>
    </r>
  </si>
  <si>
    <t>PVC LP* Dia. 160mm. (4 bar)</t>
  </si>
  <si>
    <t>50mm thick lean concrete in C-5 with minimum cement content of 150 kg/m3</t>
  </si>
  <si>
    <t xml:space="preserve">On top of hard core </t>
  </si>
  <si>
    <t>Reinforced concrete in C-30 with minimum  cement content of 420 kg/m3 filled in to form work and vibrated around steel reinforcement (formwork and reinforcement measured separately)</t>
  </si>
  <si>
    <t xml:space="preserve">To 200 mm thick ground slab </t>
  </si>
  <si>
    <t xml:space="preserve">To 100 mm thick ground slab </t>
  </si>
  <si>
    <t>To pump seats</t>
  </si>
  <si>
    <t xml:space="preserve">In 200 mm thick RC wall </t>
  </si>
  <si>
    <t xml:space="preserve">In 150  mm thick roof slab </t>
  </si>
  <si>
    <t>Provide and cut in fix position sawn zigba wood form work</t>
  </si>
  <si>
    <t xml:space="preserve">To RC ground slab </t>
  </si>
  <si>
    <t xml:space="preserve">To RC wall </t>
  </si>
  <si>
    <t xml:space="preserve">To  roof slab </t>
  </si>
  <si>
    <t>Diam 12 mm deformed bar</t>
  </si>
  <si>
    <t>Diam 10 mm plain bar</t>
  </si>
  <si>
    <t>Dia. 80 mm float valve for water tank.</t>
  </si>
  <si>
    <t>Provide dia. 100 mm overflow pipe to the water tank.</t>
  </si>
  <si>
    <t>Provide dia. 40 mm drain pipe to the water tank.</t>
  </si>
  <si>
    <t>4m3 capacity</t>
  </si>
  <si>
    <t xml:space="preserve">      Dia. 300 mm</t>
  </si>
  <si>
    <t xml:space="preserve">Centrifugal  pumps </t>
  </si>
  <si>
    <r>
      <t xml:space="preserve">Pick up, </t>
    </r>
    <r>
      <rPr>
        <sz val="6"/>
        <rFont val="Arial"/>
        <family val="2"/>
      </rPr>
      <t>double cab, 4x4,Petrol</t>
    </r>
  </si>
  <si>
    <t>Delivery Van 4x2</t>
  </si>
  <si>
    <t>Up to 1 ton</t>
  </si>
  <si>
    <t>NB: In these rental Rates :-</t>
  </si>
  <si>
    <t>In 200mm thick shear wall.</t>
  </si>
  <si>
    <t>Provide, cut and fix in position sawn zigba wood form work:</t>
  </si>
  <si>
    <t>To floor and roof beams.</t>
  </si>
  <si>
    <t>To floor slab.</t>
  </si>
  <si>
    <t>Stair case hand rail made of aluminum profiles consisting of baluster and handrail all as per shown on the detail drawing.Price shall include fixing accessories and other necessary works.</t>
  </si>
  <si>
    <t>Ditto but guard rail.</t>
  </si>
  <si>
    <t>Apply three coats of plaster in cement mortar (1.3) up to fine finish to all internal wall surfaces.</t>
  </si>
  <si>
    <t>Ditto to R.C slab soffit</t>
  </si>
  <si>
    <t>Ditto but to shear wall.</t>
  </si>
  <si>
    <t>Ditto but to stair case and landing</t>
  </si>
  <si>
    <t>Ditto but to R.C parapet.</t>
  </si>
  <si>
    <t xml:space="preserve">Apply two coats of plaster in cement mortar (1.3) to receive ceramic wall tiles. </t>
  </si>
  <si>
    <t>SANITARY EQUIPMENT (FIXTURES)</t>
  </si>
  <si>
    <t>Sub base</t>
  </si>
  <si>
    <t>course</t>
  </si>
  <si>
    <t>Selected</t>
  </si>
  <si>
    <t>material</t>
  </si>
  <si>
    <t>Roller</t>
  </si>
  <si>
    <t>operator</t>
  </si>
  <si>
    <t>grader</t>
  </si>
  <si>
    <t>Constract</t>
  </si>
  <si>
    <t>ion forman</t>
  </si>
  <si>
    <t>Dlaborer</t>
  </si>
  <si>
    <t>Damp truck</t>
  </si>
  <si>
    <t>Water</t>
  </si>
  <si>
    <t>tanker</t>
  </si>
  <si>
    <t>Loader</t>
  </si>
  <si>
    <t>Dump</t>
  </si>
  <si>
    <t>truck</t>
  </si>
  <si>
    <t>Asphalt surface</t>
  </si>
  <si>
    <t>treatment</t>
  </si>
  <si>
    <t>Steel reinforcement  according to structural drawing. Price shall include cutting bending placing in position and tying wires.</t>
  </si>
  <si>
    <t>Ceramic wall tiles</t>
  </si>
  <si>
    <t>Site clearing to an</t>
  </si>
  <si>
    <t>G.leader</t>
  </si>
  <si>
    <t xml:space="preserve">Tools </t>
  </si>
  <si>
    <t>D. labour</t>
  </si>
  <si>
    <t>20cm</t>
  </si>
  <si>
    <t>Forman</t>
  </si>
  <si>
    <t>Trench excavation</t>
  </si>
  <si>
    <t>Tools</t>
  </si>
  <si>
    <t>Metal door and window fabricated from 38 x38 LTZ  profile and  1 mm thick metal sheet all according to the detail drawing. Price shall include one coat of primer and two coats of synthetic enamel paint, approved type of cylindrical lock and all necessary works</t>
  </si>
  <si>
    <t>a) Door Size (2500x2100) mm</t>
  </si>
  <si>
    <t xml:space="preserve">b)Louvred Window W1 Size 1000x1250mm </t>
  </si>
  <si>
    <t>5 mm thick  flat metal sheet manhole cover including  Dia .14 mm deformed bar handle Price shall include one coat of primer and two coats of synthetic enamel paint, and all necessary works</t>
  </si>
  <si>
    <t xml:space="preserve">Dynasphere (Erico) air terminal at roof, D/S SILV MK3 or </t>
  </si>
  <si>
    <t>equivalent and approved with all necessary mounting accessories.</t>
  </si>
  <si>
    <t>5.4.02</t>
  </si>
  <si>
    <t xml:space="preserve">Aluminium masts + bases, 3m or equivalent and approved </t>
  </si>
  <si>
    <t>with all necessary mounting accessories.</t>
  </si>
  <si>
    <t>5.4.03</t>
  </si>
  <si>
    <r>
      <t>Ericore down conductor (Erico) E1/50MM2/0, 50mm</t>
    </r>
    <r>
      <rPr>
        <vertAlign val="superscript"/>
        <sz val="10"/>
        <rFont val="Arial"/>
        <family val="2"/>
      </rPr>
      <t>2</t>
    </r>
    <r>
      <rPr>
        <sz val="10"/>
        <rFont val="Arial"/>
        <family val="2"/>
      </rPr>
      <t xml:space="preserve"> or</t>
    </r>
  </si>
  <si>
    <t>equivalent and approved with appropriate down conductor saddles</t>
  </si>
  <si>
    <t>production (1:3)</t>
  </si>
  <si>
    <t xml:space="preserve">masonry wall </t>
  </si>
  <si>
    <t>9.1.40</t>
  </si>
  <si>
    <r>
      <t>3x2.5mm</t>
    </r>
    <r>
      <rPr>
        <vertAlign val="superscript"/>
        <sz val="10"/>
        <rFont val="Arial"/>
        <family val="2"/>
      </rPr>
      <t>2</t>
    </r>
    <r>
      <rPr>
        <sz val="10"/>
        <rFont val="Arial"/>
        <family val="2"/>
      </rPr>
      <t xml:space="preserve"> (13x100) BLACK H05VV-F</t>
    </r>
  </si>
  <si>
    <r>
      <t>3x4mm</t>
    </r>
    <r>
      <rPr>
        <vertAlign val="superscript"/>
        <sz val="10"/>
        <rFont val="Arial"/>
        <family val="2"/>
      </rPr>
      <t>2</t>
    </r>
    <r>
      <rPr>
        <sz val="10"/>
        <rFont val="Arial"/>
        <family val="2"/>
      </rPr>
      <t xml:space="preserve"> (1x1000) BLACK H05VV-F</t>
    </r>
  </si>
  <si>
    <r>
      <t>3x4mm</t>
    </r>
    <r>
      <rPr>
        <vertAlign val="superscript"/>
        <sz val="10"/>
        <rFont val="Arial"/>
        <family val="2"/>
      </rPr>
      <t>2</t>
    </r>
    <r>
      <rPr>
        <sz val="10"/>
        <rFont val="Arial"/>
        <family val="2"/>
      </rPr>
      <t xml:space="preserve"> (20x100) BLACK H05VV-F</t>
    </r>
  </si>
  <si>
    <r>
      <t>3x6mm</t>
    </r>
    <r>
      <rPr>
        <vertAlign val="superscript"/>
        <sz val="10"/>
        <rFont val="Arial"/>
        <family val="2"/>
      </rPr>
      <t>2</t>
    </r>
    <r>
      <rPr>
        <sz val="10"/>
        <rFont val="Arial"/>
        <family val="2"/>
      </rPr>
      <t xml:space="preserve"> (2x1000) BLACK H05VV-F</t>
    </r>
  </si>
  <si>
    <r>
      <t>3x6mm</t>
    </r>
    <r>
      <rPr>
        <vertAlign val="superscript"/>
        <sz val="10"/>
        <rFont val="Arial"/>
        <family val="2"/>
      </rPr>
      <t>2</t>
    </r>
    <r>
      <rPr>
        <sz val="10"/>
        <rFont val="Arial"/>
        <family val="2"/>
      </rPr>
      <t xml:space="preserve"> (30x100) BLACK H05VV-F</t>
    </r>
  </si>
  <si>
    <r>
      <t>4x1.5mm</t>
    </r>
    <r>
      <rPr>
        <vertAlign val="superscript"/>
        <sz val="10"/>
        <rFont val="Arial"/>
        <family val="2"/>
      </rPr>
      <t>2</t>
    </r>
    <r>
      <rPr>
        <sz val="10"/>
        <rFont val="Arial"/>
        <family val="2"/>
      </rPr>
      <t xml:space="preserve"> (40x100) BLACK H05VV-F</t>
    </r>
  </si>
  <si>
    <r>
      <t>4x1.5mm</t>
    </r>
    <r>
      <rPr>
        <vertAlign val="superscript"/>
        <sz val="10"/>
        <rFont val="Arial"/>
        <family val="2"/>
      </rPr>
      <t>2</t>
    </r>
    <r>
      <rPr>
        <sz val="10"/>
        <rFont val="Arial"/>
        <family val="2"/>
      </rPr>
      <t xml:space="preserve"> (1x2000) BLACK H05VV-F</t>
    </r>
  </si>
  <si>
    <r>
      <t>4x2.5mm</t>
    </r>
    <r>
      <rPr>
        <vertAlign val="superscript"/>
        <sz val="10"/>
        <rFont val="Arial"/>
        <family val="2"/>
      </rPr>
      <t>2</t>
    </r>
    <r>
      <rPr>
        <sz val="10"/>
        <rFont val="Arial"/>
        <family val="2"/>
      </rPr>
      <t xml:space="preserve"> (1x2000) BLACK H05VV-F</t>
    </r>
  </si>
  <si>
    <r>
      <t>4x2.5mm</t>
    </r>
    <r>
      <rPr>
        <vertAlign val="superscript"/>
        <sz val="10"/>
        <rFont val="Arial"/>
        <family val="2"/>
      </rPr>
      <t>2</t>
    </r>
    <r>
      <rPr>
        <sz val="10"/>
        <rFont val="Arial"/>
        <family val="2"/>
      </rPr>
      <t xml:space="preserve"> (60x100) BLACK H05VV-F</t>
    </r>
  </si>
  <si>
    <r>
      <t>4x4mm</t>
    </r>
    <r>
      <rPr>
        <vertAlign val="superscript"/>
        <sz val="10"/>
        <rFont val="Arial"/>
        <family val="2"/>
      </rPr>
      <t>2</t>
    </r>
    <r>
      <rPr>
        <sz val="10"/>
        <rFont val="Arial"/>
        <family val="2"/>
      </rPr>
      <t xml:space="preserve"> (80x100) BLACK H05VV-F</t>
    </r>
  </si>
  <si>
    <r>
      <t>4x4mm</t>
    </r>
    <r>
      <rPr>
        <vertAlign val="superscript"/>
        <sz val="10"/>
        <rFont val="Arial"/>
        <family val="2"/>
      </rPr>
      <t>2</t>
    </r>
    <r>
      <rPr>
        <sz val="10"/>
        <rFont val="Arial"/>
        <family val="2"/>
      </rPr>
      <t xml:space="preserve"> (2x1000) BLACK H05VV-F</t>
    </r>
  </si>
  <si>
    <r>
      <t>4x6mm</t>
    </r>
    <r>
      <rPr>
        <vertAlign val="superscript"/>
        <sz val="10"/>
        <rFont val="Arial"/>
        <family val="2"/>
      </rPr>
      <t>2</t>
    </r>
    <r>
      <rPr>
        <sz val="10"/>
        <rFont val="Arial"/>
        <family val="2"/>
      </rPr>
      <t xml:space="preserve"> (2x1000) BLACK H05VV-F</t>
    </r>
  </si>
  <si>
    <r>
      <t>4x6mm</t>
    </r>
    <r>
      <rPr>
        <vertAlign val="superscript"/>
        <sz val="10"/>
        <rFont val="Arial"/>
        <family val="2"/>
      </rPr>
      <t>2</t>
    </r>
    <r>
      <rPr>
        <sz val="10"/>
        <rFont val="Arial"/>
        <family val="2"/>
      </rPr>
      <t xml:space="preserve"> (80x100) BLACK H05VV-F</t>
    </r>
  </si>
  <si>
    <r>
      <t>4x10mm</t>
    </r>
    <r>
      <rPr>
        <vertAlign val="superscript"/>
        <sz val="10"/>
        <rFont val="Arial"/>
        <family val="2"/>
      </rPr>
      <t>2</t>
    </r>
    <r>
      <rPr>
        <sz val="10"/>
        <rFont val="Arial"/>
        <family val="2"/>
      </rPr>
      <t xml:space="preserve"> (5x1000) BLACK H05VV-F</t>
    </r>
  </si>
  <si>
    <t>70%of the workers may encounter once in a year</t>
  </si>
  <si>
    <t>there are 12 holidays in a year and 70%of them rests on</t>
  </si>
  <si>
    <t>50% of the 70% of the workers may be sick.</t>
  </si>
  <si>
    <t>Shower unit</t>
  </si>
  <si>
    <t>Shower</t>
  </si>
  <si>
    <t>Sink</t>
  </si>
  <si>
    <t>Single bowl with</t>
  </si>
  <si>
    <t>Double bowl</t>
  </si>
  <si>
    <t>Tiolet paper</t>
  </si>
  <si>
    <t>Holder</t>
  </si>
  <si>
    <t>holder</t>
  </si>
  <si>
    <t>Towel Rail/Hook</t>
  </si>
  <si>
    <t>Rail/Hook</t>
  </si>
  <si>
    <t>Floor drain</t>
  </si>
  <si>
    <t>Drain</t>
  </si>
  <si>
    <t>Concrete trough</t>
  </si>
  <si>
    <t>Trough</t>
  </si>
  <si>
    <t>Drain with</t>
  </si>
  <si>
    <t>smell trap</t>
  </si>
  <si>
    <t>NO</t>
  </si>
  <si>
    <t>Electrical Instalation</t>
  </si>
  <si>
    <t>Light point</t>
  </si>
  <si>
    <t>Conduit</t>
  </si>
  <si>
    <t>Osmoseal water proofing</t>
  </si>
  <si>
    <t>Xypex water proofing</t>
  </si>
  <si>
    <t>Decadex water proofing</t>
  </si>
  <si>
    <t xml:space="preserve">Hertalan water proofing </t>
  </si>
  <si>
    <t>Fosrock water proofing</t>
  </si>
  <si>
    <t>Flintcoat water proofing</t>
  </si>
  <si>
    <t>Tabor Ceramic</t>
  </si>
  <si>
    <t xml:space="preserve">Plastic emulsion </t>
  </si>
  <si>
    <t>Synthetic enamel</t>
  </si>
  <si>
    <t>Bricks</t>
  </si>
  <si>
    <t xml:space="preserve">Marble </t>
  </si>
  <si>
    <t>Marble</t>
  </si>
  <si>
    <t xml:space="preserve">a) Harar 2x10cm. </t>
  </si>
  <si>
    <t xml:space="preserve">b) Incotie 2x10cm. </t>
  </si>
  <si>
    <t xml:space="preserve">c) Mankush 2x10cm. </t>
  </si>
  <si>
    <t>Saba Dimensional Stone P.L.C.</t>
  </si>
  <si>
    <t>a) Tekeze black 2x7cm.</t>
  </si>
  <si>
    <t>b) Tekeze black 2x8cm.</t>
  </si>
  <si>
    <t>c) Tekeze black 2x9cm.</t>
  </si>
  <si>
    <t>d) Tekeze black 2x10cm.</t>
  </si>
  <si>
    <t>e) Tekeze black 3x7cm.</t>
  </si>
  <si>
    <t>f) Tekeze black 3x8cm.</t>
  </si>
  <si>
    <t>g) Tekeze black 3x9cm.</t>
  </si>
  <si>
    <t>h) Tekeze black 3x10cm.</t>
  </si>
  <si>
    <t>PVC Skirting</t>
  </si>
  <si>
    <t xml:space="preserve">a) Size 6cm. thick </t>
  </si>
  <si>
    <t xml:space="preserve">b) Size 7cm. thick </t>
  </si>
  <si>
    <t xml:space="preserve">c) Size 8cm. thick </t>
  </si>
  <si>
    <t>GLAZING MATERIALS</t>
  </si>
  <si>
    <t>Glass 3mm thick</t>
  </si>
  <si>
    <t>Glass 4mm thick</t>
  </si>
  <si>
    <t>Putty</t>
  </si>
  <si>
    <t xml:space="preserve">5mm.thick tinted glass </t>
  </si>
  <si>
    <t xml:space="preserve">8mm. thick security glass </t>
  </si>
  <si>
    <t>4mm frosted glass</t>
  </si>
  <si>
    <t>6mm thick wire glass</t>
  </si>
  <si>
    <t>ALUMINUM MATERIALS</t>
  </si>
  <si>
    <t>Structural aluminum curtain wall</t>
  </si>
  <si>
    <t xml:space="preserve">Stick system curtain wall </t>
  </si>
  <si>
    <t>Aluminum sky light</t>
  </si>
  <si>
    <t xml:space="preserve">Acrylic sky light </t>
  </si>
  <si>
    <t>Description of Labor</t>
  </si>
  <si>
    <t>Index Factor</t>
  </si>
  <si>
    <t>DAILY   LABORER</t>
  </si>
  <si>
    <t>G.loader</t>
  </si>
  <si>
    <t>As of November, 2010</t>
  </si>
  <si>
    <t>Primer D-41</t>
  </si>
  <si>
    <t>CHEM-CRETEX</t>
  </si>
  <si>
    <t>Derma Damp Bituminous Coating</t>
  </si>
  <si>
    <t>Dermacryl</t>
  </si>
  <si>
    <t>Derma last</t>
  </si>
  <si>
    <t>DANKO</t>
  </si>
  <si>
    <t>Hand Wash China -SD 2048B (50x40)</t>
  </si>
  <si>
    <t xml:space="preserve">Hand Wash </t>
  </si>
  <si>
    <t>Hand Wash China -1366</t>
  </si>
  <si>
    <t>WC China -1266</t>
  </si>
  <si>
    <t>WC Egypt Lord</t>
  </si>
  <si>
    <t>WC China -1277</t>
  </si>
  <si>
    <t xml:space="preserve">WC LIWA RAK </t>
  </si>
  <si>
    <t>Bath China YT-10025 170x70</t>
  </si>
  <si>
    <t xml:space="preserve">Barbed wire </t>
  </si>
  <si>
    <r>
      <t>Fencing Wire or chain link (2x25</t>
    </r>
    <r>
      <rPr>
        <sz val="10"/>
        <rFont val="Arial"/>
        <family val="2"/>
      </rPr>
      <t>).</t>
    </r>
  </si>
  <si>
    <t>PVC LP* Dia. 75mm.</t>
  </si>
  <si>
    <t>PVC LP* Dia. 125mm.</t>
  </si>
  <si>
    <t>Market (Tesfaye &amp; His Family (Mesalemia)</t>
  </si>
  <si>
    <t>Eucalyptus braces</t>
  </si>
  <si>
    <t>Market TEFESEHA PLC</t>
  </si>
  <si>
    <t>MBI</t>
  </si>
  <si>
    <t>MCB 3X63A 6KA</t>
  </si>
  <si>
    <t xml:space="preserve">Aluminum Door and Windows </t>
  </si>
  <si>
    <t>PREPARED BY MoUDC</t>
  </si>
  <si>
    <t>PPR PIPE IN 3M LENGTH 20MM</t>
  </si>
  <si>
    <t>PPR PIPE IN 4M LENGTH 20MM</t>
  </si>
  <si>
    <t>PPR PIPE IN 4M LENGTH 25MM</t>
  </si>
  <si>
    <t>PPR PIPE IN 4M LENGTH 32MM</t>
  </si>
  <si>
    <t>PPR PIPE IN 4M LENGTH 40MM</t>
  </si>
  <si>
    <t>PPR PIPE IN 4M LENGTH 50MM</t>
  </si>
  <si>
    <t>PPR PIPE IN 4M LENGTH 63MM</t>
  </si>
  <si>
    <t>50 cm thick stone masonry foundation wall below NGL.</t>
  </si>
  <si>
    <t>50 cm thick stone masonry foundation wallabove NGL.</t>
  </si>
  <si>
    <t xml:space="preserve"> 'Class C' 20cm. H.C. B. production</t>
  </si>
  <si>
    <t xml:space="preserve"> 'Class C' 15cm. H.C. B. production </t>
  </si>
  <si>
    <t xml:space="preserve"> 'Class C' 10cm. H.C. B. production</t>
  </si>
  <si>
    <t>M.forman</t>
  </si>
  <si>
    <r>
      <t>Note:-</t>
    </r>
    <r>
      <rPr>
        <b/>
        <sz val="10"/>
        <rFont val="Arial"/>
        <family val="2"/>
      </rPr>
      <t xml:space="preserve">  Analysis for equipment rental rate need to be revised for the year 2011, since the above data is modified with only some items added to year 2005.</t>
    </r>
  </si>
  <si>
    <t xml:space="preserve">      4/   Unit price of fuel is only the present current price (November 2010)</t>
  </si>
  <si>
    <t>As of May , 2011</t>
  </si>
  <si>
    <t>Ethiopian Iron &amp; Steel</t>
  </si>
  <si>
    <t>KOSPI</t>
  </si>
  <si>
    <t>AWAZEL (Equivalent)</t>
  </si>
  <si>
    <t>Tabor 15X15cm wall tiles</t>
  </si>
  <si>
    <t>Imported 15X15cm wall tiles</t>
  </si>
  <si>
    <t xml:space="preserve">        "          20X20cm wall tiles</t>
  </si>
  <si>
    <t xml:space="preserve">        "          30X30cm    "      "</t>
  </si>
  <si>
    <t xml:space="preserve">        "          50X50cm    "      "</t>
  </si>
  <si>
    <t>Ethio Ceramics</t>
  </si>
  <si>
    <t>Non slippery ceramic floor tiles (RAK/Sudan</t>
  </si>
  <si>
    <t>Wall tiels (different sizes) (RAK/Dubai)</t>
  </si>
  <si>
    <t>Floor tiles (different sizes) (RAK/Dubai)</t>
  </si>
  <si>
    <t>DH GEDA</t>
  </si>
  <si>
    <t>NEFASILK</t>
  </si>
  <si>
    <t>20cm thick (GRADE B)</t>
  </si>
  <si>
    <t>Cement products production Enter prise</t>
  </si>
  <si>
    <t xml:space="preserve">Ethiopian Marble processing Marble </t>
  </si>
  <si>
    <t>=</t>
  </si>
  <si>
    <t>As of May 2011</t>
  </si>
  <si>
    <t xml:space="preserve">Equipment Owning &amp; Operating Cost (May 2011) </t>
  </si>
  <si>
    <t>3-MASONRY WORK</t>
  </si>
  <si>
    <t>As of May, 2010</t>
  </si>
  <si>
    <t xml:space="preserve">Average 30mm </t>
  </si>
  <si>
    <t>5x7 CM Zigba Purlin</t>
  </si>
  <si>
    <t>Market Ethio Ceram.</t>
  </si>
  <si>
    <t xml:space="preserve">driven in earth inside earth pit of 500x500x500mm with cover, </t>
  </si>
  <si>
    <t>complete with connecting accessories.</t>
  </si>
  <si>
    <t>9.10.02</t>
  </si>
  <si>
    <t xml:space="preserve">Main earth bar CU 40x5mm with 25 holes, bolts and nuts </t>
  </si>
  <si>
    <t>including fixing accessories and cable lugs .</t>
  </si>
  <si>
    <t>9.11.01</t>
  </si>
  <si>
    <r>
      <t>Bell call system points fed through PVC conductor of 2x1mm</t>
    </r>
    <r>
      <rPr>
        <vertAlign val="superscript"/>
        <sz val="10"/>
        <rFont val="Arial"/>
        <family val="2"/>
      </rPr>
      <t xml:space="preserve">2 </t>
    </r>
    <r>
      <rPr>
        <sz val="10"/>
        <rFont val="Arial"/>
        <family val="2"/>
      </rPr>
      <t xml:space="preserve">in </t>
    </r>
  </si>
  <si>
    <t>9.11.02</t>
  </si>
  <si>
    <t xml:space="preserve">Bell indicator with built-in power supply 230V~ -50Hz and </t>
  </si>
  <si>
    <t>6 directions type Legrand or approved equivalent.</t>
  </si>
  <si>
    <t>9.11.03</t>
  </si>
  <si>
    <t>Loader op.</t>
  </si>
  <si>
    <t>TRUCK DRIVER</t>
  </si>
  <si>
    <t>D.trck</t>
  </si>
  <si>
    <t>D.truck Dr.</t>
  </si>
  <si>
    <t xml:space="preserve">Painter </t>
  </si>
  <si>
    <t>Supply, install and commission approved quality automatic fire water pumps on common base plate consisting of the following :</t>
  </si>
  <si>
    <t xml:space="preserve">     - valves(one-way,saftey,stop valves) ,manometers</t>
  </si>
  <si>
    <t>Supply and fix recessed wall mounted fire hydrant hose reels, complete with dia. 40 mm and 20 meters long canvas hose, spray jet nozzle, gate valve, swinging guide arm, and with all other necessary accessories. Unit price shall include about 900 x 600 x 250 mm approved quality steel cabinet with glass door and fire extingusher 6 kg weight CO2 in the cabinet.</t>
  </si>
  <si>
    <t>10.1.9</t>
  </si>
  <si>
    <t>Supply and fix floor cleanouts made of polished steel of approved quality, complete with P-smell trap and all other necessary fittings and accessories.</t>
  </si>
  <si>
    <t>10.1.10</t>
  </si>
  <si>
    <t xml:space="preserve">Supply and fix  fire extingusher 6 kg weight CO2 </t>
  </si>
  <si>
    <t xml:space="preserve">WATER SUPPLY  PIPE LINE AND VALVES </t>
  </si>
  <si>
    <t>Cold and hot  water pipes shall be galvanized steel and be fixed to slabs, walls, beams or etc…with metal straps or similar material.  Unit price shall include all assistance civil works and necessary fittings such as T, instruction and according to where shown on the drawing.  All  water pipes shall be tested two times the working pressure or 50 meters head, which ever is greater at the expense of the  contractor.</t>
  </si>
  <si>
    <t>10.2.1</t>
  </si>
  <si>
    <t>Supply and install galvanized steel pipes to internal water distribution system as shown on the drawing. Complete with all the necessary fittings and accessories.</t>
  </si>
  <si>
    <t>PVC LP* Dia. 200mm. (4 bar)</t>
  </si>
  <si>
    <t>PVC HP** Dia. 200mm. (10 bar)</t>
  </si>
  <si>
    <t>PVC LP* Dia. 315mm. (4 bar)</t>
  </si>
  <si>
    <t>9.1.11</t>
  </si>
  <si>
    <t>9.1.12</t>
  </si>
  <si>
    <t>9.1.13</t>
  </si>
  <si>
    <t>9.1.14</t>
  </si>
  <si>
    <t>9.1.15</t>
  </si>
  <si>
    <t>9.1.16</t>
  </si>
  <si>
    <t>9.1.17</t>
  </si>
  <si>
    <t>9.1.18</t>
  </si>
  <si>
    <t>9.1.19</t>
  </si>
  <si>
    <t>9.1.20</t>
  </si>
  <si>
    <t>9.1.21</t>
  </si>
  <si>
    <t>9.1.22</t>
  </si>
  <si>
    <t>m3</t>
  </si>
  <si>
    <t xml:space="preserve">   "     24mm        "         "</t>
  </si>
  <si>
    <t>Provide, cut and fix in position sawn zigba wood form work</t>
  </si>
  <si>
    <t>To elevation column</t>
  </si>
  <si>
    <t>To roof and intermediat beams</t>
  </si>
  <si>
    <t>To lintels</t>
  </si>
  <si>
    <t>To 120mm thick roof slab</t>
  </si>
  <si>
    <t>To  100mm thick  parapet</t>
  </si>
  <si>
    <t xml:space="preserve"> Diam 20mm.deformed bar.</t>
  </si>
  <si>
    <t>1.12</t>
  </si>
  <si>
    <t xml:space="preserve"> "     16mm.     "         "</t>
  </si>
  <si>
    <t xml:space="preserve"> "    14mm.      "         "</t>
  </si>
  <si>
    <t>1.14</t>
  </si>
  <si>
    <t xml:space="preserve"> "    12mm.      "         "</t>
  </si>
  <si>
    <t xml:space="preserve"> "    8mm.        "         "</t>
  </si>
  <si>
    <t>Fans</t>
  </si>
  <si>
    <t xml:space="preserve">Plasterer   </t>
  </si>
  <si>
    <t>Light Fixtures</t>
  </si>
  <si>
    <t>Fitting</t>
  </si>
  <si>
    <t>Supply,fix,test and commission approved quality centrifugal domestic water pumps as per the manufacturer's instruction, technical specification and drawing shown.Price shall include all the necessary valves (one-way and stop valves), water hammer arrestor,common base plate,level switch to protect dry-running. (one stand-by) Electric driven</t>
  </si>
  <si>
    <t xml:space="preserve">       Capacity  :   Discharge = 8.9 liters/second</t>
  </si>
  <si>
    <t xml:space="preserve">                          Total head = 36 meters</t>
  </si>
  <si>
    <t xml:space="preserve">                          Estimated power = 5.5Kw</t>
  </si>
  <si>
    <t>Ditto, but Diesel driven</t>
  </si>
  <si>
    <t>Fire pumps :</t>
  </si>
  <si>
    <t xml:space="preserve">Compensation </t>
  </si>
  <si>
    <t>Maternity</t>
  </si>
  <si>
    <t>2% of 25% of the workers</t>
  </si>
  <si>
    <t>Rainy Season</t>
  </si>
  <si>
    <t>Bonus (incentive) per year</t>
  </si>
  <si>
    <t>50% of his salary per year</t>
  </si>
  <si>
    <t>Overtime (shall be allowed by the engineer )</t>
  </si>
  <si>
    <t>1/4 hour per day with double of his salary</t>
  </si>
  <si>
    <t>Total</t>
  </si>
  <si>
    <t>Benefit Factor=</t>
  </si>
  <si>
    <t>Hourly Rate</t>
  </si>
  <si>
    <t>Indexed Rate</t>
  </si>
  <si>
    <t>Ethio Marble (Harar)</t>
  </si>
  <si>
    <t>a) 1cm. thick</t>
  </si>
  <si>
    <t xml:space="preserve">Ethio Marble </t>
  </si>
  <si>
    <t>b) 2cm. thick</t>
  </si>
  <si>
    <t>c) 3cm. thick</t>
  </si>
  <si>
    <t>Ethio Marble (Gojam Incotie)</t>
  </si>
  <si>
    <t>Ethio Marble (Gojam Mankush)</t>
  </si>
  <si>
    <t>Saba Marble (Tekeze Black)</t>
  </si>
  <si>
    <t xml:space="preserve">Saba Marble </t>
  </si>
  <si>
    <t>Saba Marble (Multi Color)</t>
  </si>
  <si>
    <t>INDIRECT SITE COST</t>
  </si>
  <si>
    <t>SUPERVISOR STAFF</t>
  </si>
  <si>
    <t>POSITION</t>
  </si>
  <si>
    <t>Number</t>
  </si>
  <si>
    <t>MONTHLY SALARY</t>
  </si>
  <si>
    <t>MONTHLY INDEXED SALARY</t>
  </si>
  <si>
    <t>MONTHLY COST</t>
  </si>
  <si>
    <t>COMPLETION TIME IN MONTHS</t>
  </si>
  <si>
    <t>TOTAL COST IN PROJECT COST</t>
  </si>
  <si>
    <t>Project Engineer</t>
  </si>
  <si>
    <t>Office Engineer</t>
  </si>
  <si>
    <t>General Forman</t>
  </si>
  <si>
    <t>Surveyor</t>
  </si>
  <si>
    <t>Chain and Road men</t>
  </si>
  <si>
    <t xml:space="preserve">ADMINISTRATION </t>
  </si>
  <si>
    <t>Personnel</t>
  </si>
  <si>
    <t>Account Clerk</t>
  </si>
  <si>
    <t>Casher</t>
  </si>
  <si>
    <t>Store keeper</t>
  </si>
  <si>
    <t>Time keeper</t>
  </si>
  <si>
    <t>Light Vickie driver</t>
  </si>
  <si>
    <t>Cleaner</t>
  </si>
  <si>
    <t>Guard</t>
  </si>
  <si>
    <t>COMMONLY USED PLANT AND TOOLS</t>
  </si>
  <si>
    <t>TYPE OF EQUIPMENT</t>
  </si>
  <si>
    <t>Rent per month</t>
  </si>
  <si>
    <t>Completion time in months</t>
  </si>
  <si>
    <t>Total cost in project cost</t>
  </si>
  <si>
    <t>Light Vickie</t>
  </si>
  <si>
    <t>Pick up</t>
  </si>
  <si>
    <t>Welding Machine</t>
  </si>
  <si>
    <t>Water pump</t>
  </si>
  <si>
    <t>Surveying instrument</t>
  </si>
  <si>
    <t>Water tank</t>
  </si>
  <si>
    <t>Plastic hose (200m)</t>
  </si>
  <si>
    <t>Note: all light fittings should have appropriate electric gear,</t>
  </si>
  <si>
    <t>In 20cm thick RC bottom slab</t>
  </si>
  <si>
    <t>In 18cm thick RC bottom slab</t>
  </si>
  <si>
    <t>In 7 cm thick RC removable cover</t>
  </si>
  <si>
    <t xml:space="preserve">Zigba wood form work </t>
  </si>
  <si>
    <t>RC bottom slab of septic tank</t>
  </si>
  <si>
    <t>RC top roof slab</t>
  </si>
  <si>
    <t>RC removable cover</t>
  </si>
  <si>
    <t>Reinforcement steel bars</t>
  </si>
  <si>
    <t>Dia. 14mm deformed bars</t>
  </si>
  <si>
    <t>Dia. 12mm deformed bars</t>
  </si>
  <si>
    <t>Dia. 10mm deformed bars</t>
  </si>
  <si>
    <t>Dia. 8mm deformed bars</t>
  </si>
  <si>
    <t>3.0 Stone Masonry</t>
  </si>
  <si>
    <t>60cm thick hard trachytic retaining wall</t>
  </si>
  <si>
    <t>4.0 Block Works</t>
  </si>
  <si>
    <t>15cm thick HCB wall</t>
  </si>
  <si>
    <t>5.0 Plastering</t>
  </si>
  <si>
    <t>Apply three coats of plaster</t>
  </si>
  <si>
    <t>Ditto but to internal stone wall</t>
  </si>
  <si>
    <t>6.0 Pipe Works</t>
  </si>
  <si>
    <t>PVC pipe "T" diameter 250 mm</t>
  </si>
  <si>
    <t>PVC pipe elbow diameter 250 mm</t>
  </si>
  <si>
    <t>10.4.5</t>
  </si>
  <si>
    <t>Construct soak away pit as per the detail drawing</t>
  </si>
  <si>
    <t>Diameter 3.5m, Avg depth=3m</t>
  </si>
  <si>
    <t>10.4.6</t>
  </si>
  <si>
    <t>Supply and lay concrete pipe for waste water drainage from the manhole to the septic tank with minimum slope of 2% or natural ground slope which ever is greater on a firm bed of sand 100 mm thick below and 200 mm thick above the crown of pipe in open ground.</t>
  </si>
  <si>
    <t xml:space="preserve">      Dia. 150 mm</t>
  </si>
  <si>
    <t xml:space="preserve">      Dia. 200 mm</t>
  </si>
  <si>
    <t>10.4.7</t>
  </si>
  <si>
    <t>Supply and fix approved quality garden taps ,complete with gate valve and all other accessories and connecting pieces.</t>
  </si>
  <si>
    <t xml:space="preserve">       Dia. 20 mm</t>
  </si>
  <si>
    <t xml:space="preserve"> No</t>
  </si>
  <si>
    <t>10.4.8</t>
  </si>
  <si>
    <t>Pointing in cement</t>
  </si>
  <si>
    <t xml:space="preserve">sand ( 1:3) to </t>
  </si>
  <si>
    <r>
      <t>5x16mm</t>
    </r>
    <r>
      <rPr>
        <vertAlign val="superscript"/>
        <sz val="10"/>
        <rFont val="Arial"/>
        <family val="2"/>
      </rPr>
      <t>2</t>
    </r>
    <r>
      <rPr>
        <sz val="10"/>
        <rFont val="Arial"/>
        <family val="2"/>
      </rPr>
      <t xml:space="preserve"> from Kwh-1 to SDB-1-GF-COM</t>
    </r>
  </si>
  <si>
    <r>
      <t>3x10mm</t>
    </r>
    <r>
      <rPr>
        <vertAlign val="superscript"/>
        <sz val="10"/>
        <rFont val="Arial"/>
        <family val="2"/>
      </rPr>
      <t>2</t>
    </r>
    <r>
      <rPr>
        <sz val="10"/>
        <rFont val="Arial"/>
        <family val="2"/>
      </rPr>
      <t xml:space="preserve"> from Kwh-2 to SDB-1-1F-1</t>
    </r>
  </si>
  <si>
    <r>
      <t>3x16mm</t>
    </r>
    <r>
      <rPr>
        <vertAlign val="superscript"/>
        <sz val="10"/>
        <rFont val="Arial"/>
        <family val="2"/>
      </rPr>
      <t>2</t>
    </r>
    <r>
      <rPr>
        <sz val="10"/>
        <rFont val="Arial"/>
        <family val="2"/>
      </rPr>
      <t xml:space="preserve"> from Kwh-3 to SDB-1-1F-2</t>
    </r>
  </si>
  <si>
    <r>
      <t>3x16mm</t>
    </r>
    <r>
      <rPr>
        <vertAlign val="superscript"/>
        <sz val="10"/>
        <rFont val="Arial"/>
        <family val="2"/>
      </rPr>
      <t>2</t>
    </r>
    <r>
      <rPr>
        <sz val="10"/>
        <rFont val="Arial"/>
        <family val="2"/>
      </rPr>
      <t xml:space="preserve"> from Kwh-4 to SDB-1-1F-3</t>
    </r>
  </si>
  <si>
    <t>9.8.05</t>
  </si>
  <si>
    <r>
      <t>3x10mm</t>
    </r>
    <r>
      <rPr>
        <vertAlign val="superscript"/>
        <sz val="10"/>
        <rFont val="Arial"/>
        <family val="2"/>
      </rPr>
      <t>2</t>
    </r>
    <r>
      <rPr>
        <sz val="10"/>
        <rFont val="Arial"/>
        <family val="2"/>
      </rPr>
      <t xml:space="preserve"> from Kwh-5 to SDB-1-2F-1</t>
    </r>
  </si>
  <si>
    <t>9.8.06</t>
  </si>
  <si>
    <r>
      <t>3x16mm</t>
    </r>
    <r>
      <rPr>
        <vertAlign val="superscript"/>
        <sz val="10"/>
        <rFont val="Arial"/>
        <family val="2"/>
      </rPr>
      <t>2</t>
    </r>
    <r>
      <rPr>
        <sz val="10"/>
        <rFont val="Arial"/>
        <family val="2"/>
      </rPr>
      <t xml:space="preserve"> from Kwh-6 to SDB-1-2F-2</t>
    </r>
  </si>
  <si>
    <t>9.8.07</t>
  </si>
  <si>
    <r>
      <t>3x16mm</t>
    </r>
    <r>
      <rPr>
        <vertAlign val="superscript"/>
        <sz val="10"/>
        <rFont val="Arial"/>
        <family val="2"/>
      </rPr>
      <t>2</t>
    </r>
    <r>
      <rPr>
        <sz val="10"/>
        <rFont val="Arial"/>
        <family val="2"/>
      </rPr>
      <t xml:space="preserve"> from Kwh-7 to SDB-1-2F-3</t>
    </r>
  </si>
  <si>
    <t>9.8.08</t>
  </si>
  <si>
    <t>Mixer</t>
  </si>
  <si>
    <t>Aggriga</t>
  </si>
  <si>
    <t>Wa.ce</t>
  </si>
  <si>
    <t>D.labour</t>
  </si>
  <si>
    <t>Wa.san</t>
  </si>
  <si>
    <t>Mixer opr</t>
  </si>
  <si>
    <t>C-15 concrete</t>
  </si>
  <si>
    <t xml:space="preserve">cement </t>
  </si>
  <si>
    <t>Sand</t>
  </si>
  <si>
    <r>
      <t>1x16mm</t>
    </r>
    <r>
      <rPr>
        <vertAlign val="superscript"/>
        <sz val="10"/>
        <rFont val="Arial"/>
        <family val="2"/>
      </rPr>
      <t>2</t>
    </r>
    <r>
      <rPr>
        <sz val="10"/>
        <rFont val="Arial"/>
        <family val="2"/>
      </rPr>
      <t xml:space="preserve"> STANDARD </t>
    </r>
  </si>
  <si>
    <r>
      <t>1x25mm</t>
    </r>
    <r>
      <rPr>
        <vertAlign val="superscript"/>
        <sz val="10"/>
        <rFont val="Arial"/>
        <family val="2"/>
      </rPr>
      <t>2</t>
    </r>
    <r>
      <rPr>
        <sz val="10"/>
        <rFont val="Arial"/>
        <family val="2"/>
      </rPr>
      <t xml:space="preserve"> STANDARD (1x1000) </t>
    </r>
  </si>
  <si>
    <r>
      <t>1x35mm</t>
    </r>
    <r>
      <rPr>
        <vertAlign val="superscript"/>
        <sz val="10"/>
        <rFont val="Arial"/>
        <family val="2"/>
      </rPr>
      <t>2</t>
    </r>
    <r>
      <rPr>
        <sz val="10"/>
        <rFont val="Arial"/>
        <family val="2"/>
      </rPr>
      <t xml:space="preserve"> STANDARD WIRE (1x1000) </t>
    </r>
  </si>
  <si>
    <r>
      <t>1x50mm</t>
    </r>
    <r>
      <rPr>
        <vertAlign val="superscript"/>
        <sz val="10"/>
        <rFont val="Arial"/>
        <family val="2"/>
      </rPr>
      <t>2</t>
    </r>
    <r>
      <rPr>
        <sz val="10"/>
        <rFont val="Arial"/>
        <family val="2"/>
      </rPr>
      <t xml:space="preserve"> STANDARD WIRE (1x1000) </t>
    </r>
  </si>
  <si>
    <r>
      <t>1x70mm</t>
    </r>
    <r>
      <rPr>
        <vertAlign val="superscript"/>
        <sz val="10"/>
        <rFont val="Arial"/>
        <family val="2"/>
      </rPr>
      <t>2</t>
    </r>
    <r>
      <rPr>
        <sz val="10"/>
        <rFont val="Arial"/>
        <family val="2"/>
      </rPr>
      <t xml:space="preserve"> STANDARD WIRE (1x1000) </t>
    </r>
  </si>
  <si>
    <t>Bare Copper Wire</t>
  </si>
  <si>
    <t>Bare Copper Wire 1x10mm2</t>
  </si>
  <si>
    <t>Bare Copper Wire 1x16mm2</t>
  </si>
  <si>
    <t>Bare Copper Wire 1x25mm2</t>
  </si>
  <si>
    <t>Bare Copper Wire 1x35mm2</t>
  </si>
  <si>
    <r>
      <t>CUPS</t>
    </r>
    <r>
      <rPr>
        <sz val="10"/>
        <rFont val="Arial"/>
        <family val="2"/>
      </rPr>
      <t xml:space="preserve"> ON SUPPORT FRAME FOR</t>
    </r>
    <r>
      <rPr>
        <sz val="9"/>
        <rFont val="Times New Roman"/>
        <family val="1"/>
      </rPr>
      <t xml:space="preserve"> MOSAIC</t>
    </r>
    <r>
      <rPr>
        <sz val="10"/>
        <rFont val="Arial"/>
        <family val="2"/>
      </rPr>
      <t xml:space="preserve"> 45 FOR MODALS</t>
    </r>
  </si>
  <si>
    <t>END CAP FOR 250X65MM</t>
  </si>
  <si>
    <t>'30461</t>
  </si>
  <si>
    <t>INTERNAL ANGLE FOR 250X65MM</t>
  </si>
  <si>
    <t>FLAT ANGLE FOR 250X65MM 21.65</t>
  </si>
  <si>
    <t>JUNCTION SEPARATION FOR 250X65MM</t>
  </si>
  <si>
    <t>1 223.75</t>
  </si>
  <si>
    <r>
      <t>CUPS</t>
    </r>
    <r>
      <rPr>
        <sz val="9"/>
        <rFont val="Arial"/>
        <family val="2"/>
      </rPr>
      <t xml:space="preserve"> ON SUPPORT ADAPTOR FROM</t>
    </r>
    <r>
      <rPr>
        <sz val="11"/>
        <rFont val="Times New Roman"/>
        <family val="1"/>
      </rPr>
      <t xml:space="preserve"> MOSAIC 50 TO MOSAIC 45</t>
    </r>
  </si>
  <si>
    <r>
      <t>TRUNKING 32X16MM</t>
    </r>
    <r>
      <rPr>
        <sz val="10"/>
        <rFont val="Times New Roman"/>
        <family val="1"/>
      </rPr>
      <t xml:space="preserve"> W/OUT PARTION</t>
    </r>
  </si>
  <si>
    <t>ENCLOSUR FOR TRUNKING</t>
  </si>
  <si>
    <r>
      <t>ENCLOSUR</t>
    </r>
    <r>
      <rPr>
        <sz val="10"/>
        <rFont val="Arial"/>
        <family val="2"/>
      </rPr>
      <t xml:space="preserve"> FOR TRUNKING</t>
    </r>
  </si>
  <si>
    <t>ENCLOSUR FOT TRUNKING</t>
  </si>
  <si>
    <t>TRUNKING 100X34MM</t>
  </si>
  <si>
    <t>END CAP FOR 100X34, 100X50MM</t>
  </si>
  <si>
    <t>CUP ON PARTITION</t>
  </si>
  <si>
    <t>CLOP-oN BRACKET</t>
  </si>
  <si>
    <t>RaNG LUG FOR TRUNKING</t>
  </si>
  <si>
    <r>
      <t>COVER JOINT</t>
    </r>
    <r>
      <rPr>
        <sz val="11"/>
        <rFont val="Arial"/>
        <family val="2"/>
      </rPr>
      <t xml:space="preserve"> FOR 100X34",100X50MM</t>
    </r>
  </si>
  <si>
    <r>
      <t>CUPS ON PARTION</t>
    </r>
    <r>
      <rPr>
        <sz val="11"/>
        <rFont val="Arial"/>
        <family val="2"/>
      </rPr>
      <t xml:space="preserve"> FOR 75X50/100X50</t>
    </r>
  </si>
  <si>
    <r>
      <t>STAPLE</t>
    </r>
    <r>
      <rPr>
        <sz val="9"/>
        <rFont val="Arial"/>
        <family val="2"/>
      </rPr>
      <t xml:space="preserve"> CABLE</t>
    </r>
    <r>
      <rPr>
        <sz val="10"/>
        <rFont val="Times New Roman"/>
        <family val="1"/>
      </rPr>
      <t xml:space="preserve"> RETENTION RED fOR TRUNKING</t>
    </r>
  </si>
  <si>
    <t>CABLE STAPLE FOR TRUNKING</t>
  </si>
  <si>
    <r>
      <t>MINI</t>
    </r>
    <r>
      <rPr>
        <sz val="10"/>
        <rFont val="Arial"/>
        <family val="2"/>
      </rPr>
      <t xml:space="preserve"> TRUNKING 75X18</t>
    </r>
  </si>
  <si>
    <t>COVER FOR TRUNKING 250X65MM</t>
  </si>
  <si>
    <t>COVER PARTIAL 60MM WIDTH</t>
  </si>
  <si>
    <t>heavy duty rigid thermopastic conduit of minimum diameter of 16mm including junction box and all other fixing accessories.</t>
  </si>
  <si>
    <t>9.11  BELL CALL SYSTEM</t>
  </si>
  <si>
    <t>24-Emergency lighting Legrand 627 44, 230V, with 1x18W lamp or approved equivalent.</t>
  </si>
  <si>
    <t>9.6  TYPE OF LIGHT FITTINGS WITH LAMPS</t>
  </si>
  <si>
    <r>
      <t>for stove 25A, 1ph fed by PVC conductor of 3x6mm</t>
    </r>
    <r>
      <rPr>
        <vertAlign val="superscript"/>
        <sz val="10"/>
        <rFont val="Arial"/>
        <family val="2"/>
      </rPr>
      <t>2</t>
    </r>
    <r>
      <rPr>
        <sz val="10"/>
        <rFont val="Arial"/>
        <family val="2"/>
      </rPr>
      <t xml:space="preserve"> in diameter 19mm.</t>
    </r>
  </si>
  <si>
    <t>Socket outlet with integrated switch Scame or approved equal for kitchen 16A, 1ph fed by PVC conductor of 3x2.5mm2 in diameter 19mm.</t>
  </si>
  <si>
    <t>GEWISS, recessed, eco range or equivalent with appropriate cover plate, frame and claw and screw type box.</t>
  </si>
  <si>
    <t>Surface mounted sub-main distribution board, SDB-1-GF-COM made of steel, IP43 with lockable door, earthing lead, connectors and all the necessary accessories consisting of:-</t>
  </si>
  <si>
    <t>1.1.1</t>
  </si>
  <si>
    <t>1.1.2</t>
  </si>
  <si>
    <t>1.2.1</t>
  </si>
  <si>
    <t>1.2.2</t>
  </si>
  <si>
    <t>To column</t>
  </si>
  <si>
    <t>To floor</t>
  </si>
  <si>
    <t>To  roof beams.</t>
  </si>
  <si>
    <t>4.2</t>
  </si>
  <si>
    <t>5.1 DISTRIBUTION BOARDS</t>
  </si>
  <si>
    <t>5.1.01</t>
  </si>
  <si>
    <t xml:space="preserve">Central main distribution board (CMDB) with bus bars of 1000A </t>
  </si>
  <si>
    <t xml:space="preserve">rating, surface mounted, IP54, cable lugs and other necessary </t>
  </si>
  <si>
    <t>accessories and consisting of</t>
  </si>
  <si>
    <t>1 pc main switch of 600A/3P, Icu=70KA</t>
  </si>
  <si>
    <t>1 pc   MCCB of 320A/3P, Icu=50KA</t>
  </si>
  <si>
    <t>1 pc   MCCB of 160A/3P, Icu=50KA</t>
  </si>
  <si>
    <t>1 pc   MCCB of 125A/3P, Icu=50KA</t>
  </si>
  <si>
    <t>3 pcs MCCB of 25A/3P, Icu=25KA</t>
  </si>
  <si>
    <t>3 pcs ammeters: 0-1000A</t>
  </si>
  <si>
    <t>3 pcs current transformers: 1000/5A</t>
  </si>
  <si>
    <t>1 pc   Voltmeter with selector switch</t>
  </si>
  <si>
    <t>1 pc   frequency meter</t>
  </si>
  <si>
    <t>MCB lXl0A 6KA</t>
  </si>
  <si>
    <t>'--/"' 02307</t>
  </si>
  <si>
    <t>MCB lX20A 6KA</t>
  </si>
  <si>
    <t>MCB lX25A 6KA</t>
  </si>
  <si>
    <t>MCB lX32A 6KA</t>
  </si>
  <si>
    <t>MCB lX40A 6KA</t>
  </si>
  <si>
    <t>D40 R.c.D. 300MA 3X25A+N 300MA</t>
  </si>
  <si>
    <t>D40 R.c.D. 300MA 3X32A+N 300MA</t>
  </si>
  <si>
    <t>ELEcrRONIC PHASE FAILLURE DEDECTOR 3X380V 60HZ</t>
  </si>
  <si>
    <t>MOTOR PROTECTION    6  TO  10A</t>
  </si>
  <si>
    <t xml:space="preserve">     "              "            16 TO   20A       </t>
  </si>
  <si>
    <t xml:space="preserve">     "              "            20 TO   25A       </t>
  </si>
  <si>
    <t xml:space="preserve">     "              "            0.63 TO 1A       </t>
  </si>
  <si>
    <t>MCCB 3X500A 50KA</t>
  </si>
  <si>
    <t>MCCB 3X800A 50KA</t>
  </si>
  <si>
    <t>MCCB3Xl000A 50KA</t>
  </si>
  <si>
    <t>MCCB 3X1200A 50KA</t>
  </si>
  <si>
    <t>MCCB DPXH 3X500A 70KA</t>
  </si>
  <si>
    <t>MCCB DPXH 3X800A 70KA</t>
  </si>
  <si>
    <t>MCCB 3X800A 100KA</t>
  </si>
  <si>
    <t>MCCB 3Xl000A 100KA</t>
  </si>
  <si>
    <t>SUPPORT FRAME FOR 125A (DIN RAIL AXING)</t>
  </si>
  <si>
    <t xml:space="preserve">           "              "          "   160A (DIN RAIL AXING)</t>
  </si>
  <si>
    <t>CAGE TERMINAL SET -4 FOR 160N95MM2</t>
  </si>
  <si>
    <t>TERMINAL FOR MCCB 250A</t>
  </si>
  <si>
    <t xml:space="preserve">          "              "       MCCB 400A-600A</t>
  </si>
  <si>
    <t>1.195.00</t>
  </si>
  <si>
    <t>CAGE TERMINAL 2Xl40MM FOR 1600A</t>
  </si>
  <si>
    <t xml:space="preserve">      "             "           4X240MM FOR 1600A</t>
  </si>
  <si>
    <t>SET OF 4 CAGE TERMINAL FOR 250A</t>
  </si>
  <si>
    <t>MCCB 3X400A lCU 100KA</t>
  </si>
  <si>
    <t>MCCB 3X400A DPX-400 3SKA</t>
  </si>
  <si>
    <t>MCCB3XSOOA DPX-600 50KA</t>
  </si>
  <si>
    <t>MCCB 3X630A DPX-600 50KA</t>
  </si>
  <si>
    <t>MCCB 3X800A DPX-800 50KA</t>
  </si>
  <si>
    <t>MCCB 3Xl000ADPX-125 50KA</t>
  </si>
  <si>
    <t>15 870.00</t>
  </si>
  <si>
    <r>
      <t>"                 "                     " lX75W</t>
    </r>
    <r>
      <rPr>
        <sz val="11"/>
        <rFont val="Arial Narrow"/>
        <family val="2"/>
      </rPr>
      <t xml:space="preserve"> D-230MM</t>
    </r>
  </si>
  <si>
    <t>=(E-L-H)/F</t>
  </si>
  <si>
    <r>
      <t>=E((1+0.03)</t>
    </r>
    <r>
      <rPr>
        <vertAlign val="superscript"/>
        <sz val="6"/>
        <rFont val="Arial"/>
        <family val="2"/>
      </rPr>
      <t>F/2000</t>
    </r>
    <r>
      <rPr>
        <sz val="6"/>
        <rFont val="Arial"/>
        <family val="2"/>
      </rPr>
      <t>)-1/F</t>
    </r>
  </si>
  <si>
    <t>=(E*P/100)*G/F</t>
  </si>
  <si>
    <t>Factor</t>
  </si>
  <si>
    <t>(D*T)</t>
  </si>
  <si>
    <r>
      <t>Cost</t>
    </r>
    <r>
      <rPr>
        <sz val="8"/>
        <rFont val="Arial"/>
        <family val="2"/>
      </rPr>
      <t>=T*Fcost</t>
    </r>
  </si>
  <si>
    <t>=L/M</t>
  </si>
  <si>
    <t xml:space="preserve"> (N+O+Q)</t>
  </si>
  <si>
    <t xml:space="preserve"> (S+V+X+Y)</t>
  </si>
  <si>
    <r>
      <t>(Z+Z</t>
    </r>
    <r>
      <rPr>
        <b/>
        <vertAlign val="superscript"/>
        <sz val="8"/>
        <rFont val="Arial"/>
        <family val="2"/>
      </rPr>
      <t>1</t>
    </r>
    <r>
      <rPr>
        <b/>
        <sz val="8"/>
        <rFont val="Arial"/>
        <family val="2"/>
      </rPr>
      <t>)</t>
    </r>
  </si>
  <si>
    <t>(Birr)</t>
  </si>
  <si>
    <t>(Hour)</t>
  </si>
  <si>
    <t>Mason II</t>
  </si>
  <si>
    <t xml:space="preserve">Waste </t>
  </si>
  <si>
    <t>15cm. Thick H.C.B. wall</t>
  </si>
  <si>
    <t>10cm. Thick H.C.B. wall</t>
  </si>
  <si>
    <t>Electrode</t>
  </si>
  <si>
    <t>Cutting-disk</t>
  </si>
  <si>
    <t>W5 size 700 x 1000mm</t>
  </si>
  <si>
    <t>W8 size1000 x 1000mm</t>
  </si>
  <si>
    <t>CM32-200C 5.5HP/4KW</t>
  </si>
  <si>
    <t>CM32-200B 7.5HP/5.5KW</t>
  </si>
  <si>
    <t>CM40-160B 4HP/3KW</t>
  </si>
  <si>
    <t>CM40-160A 5.5HP/4KW</t>
  </si>
  <si>
    <t>CM40-200B 7.5HP/5.5KW</t>
  </si>
  <si>
    <t>CM50-160B 7.5HP/5.5KW</t>
  </si>
  <si>
    <t>CM50-0.5HP/0.37KW</t>
  </si>
  <si>
    <t>CM100-1HP/0.74KW</t>
  </si>
  <si>
    <t>CM150-1.5HP/1.1KW</t>
  </si>
  <si>
    <t>Insulated Copper Wire</t>
  </si>
  <si>
    <r>
      <t>1x2.5mm</t>
    </r>
    <r>
      <rPr>
        <vertAlign val="superscript"/>
        <sz val="10"/>
        <rFont val="Arial"/>
        <family val="2"/>
      </rPr>
      <t>2</t>
    </r>
    <r>
      <rPr>
        <sz val="10"/>
        <rFont val="Arial"/>
        <family val="2"/>
      </rPr>
      <t xml:space="preserve"> (Differnet Color)</t>
    </r>
  </si>
  <si>
    <r>
      <t>1x4mm</t>
    </r>
    <r>
      <rPr>
        <vertAlign val="superscript"/>
        <sz val="10"/>
        <rFont val="Arial"/>
        <family val="2"/>
      </rPr>
      <t>2</t>
    </r>
    <r>
      <rPr>
        <sz val="10"/>
        <rFont val="Arial"/>
        <family val="2"/>
      </rPr>
      <t xml:space="preserve"> (Differnet Color)</t>
    </r>
  </si>
  <si>
    <r>
      <t>1x6mm</t>
    </r>
    <r>
      <rPr>
        <vertAlign val="superscript"/>
        <sz val="10"/>
        <rFont val="Arial"/>
        <family val="2"/>
      </rPr>
      <t>2</t>
    </r>
    <r>
      <rPr>
        <sz val="10"/>
        <rFont val="Arial"/>
        <family val="2"/>
      </rPr>
      <t xml:space="preserve"> (Differnet Color)</t>
    </r>
  </si>
  <si>
    <r>
      <t>1x16mm</t>
    </r>
    <r>
      <rPr>
        <vertAlign val="superscript"/>
        <sz val="10"/>
        <rFont val="Arial"/>
        <family val="2"/>
      </rPr>
      <t>2</t>
    </r>
    <r>
      <rPr>
        <sz val="10"/>
        <rFont val="Arial"/>
        <family val="2"/>
      </rPr>
      <t xml:space="preserve"> FLEX wire (50x100)</t>
    </r>
  </si>
  <si>
    <t>9-Disano 777 Comfort CNR FL 2x36 with 2x36W/840 lamps</t>
  </si>
  <si>
    <r>
      <t>5x16mm</t>
    </r>
    <r>
      <rPr>
        <vertAlign val="superscript"/>
        <sz val="10"/>
        <rFont val="Arial"/>
        <family val="2"/>
      </rPr>
      <t>2</t>
    </r>
    <r>
      <rPr>
        <sz val="10"/>
        <rFont val="Arial"/>
        <family val="2"/>
      </rPr>
      <t xml:space="preserve"> from MDB-3-GF to SDB-3-1F</t>
    </r>
  </si>
  <si>
    <r>
      <t>3x25/16 + 16mm</t>
    </r>
    <r>
      <rPr>
        <vertAlign val="superscript"/>
        <sz val="10"/>
        <rFont val="Arial"/>
        <family val="2"/>
      </rPr>
      <t>2</t>
    </r>
    <r>
      <rPr>
        <sz val="10"/>
        <rFont val="Arial"/>
        <family val="2"/>
      </rPr>
      <t xml:space="preserve"> from MDB-3-GF to SDB-3-2F</t>
    </r>
  </si>
  <si>
    <r>
      <t>5x16mm</t>
    </r>
    <r>
      <rPr>
        <vertAlign val="superscript"/>
        <sz val="10"/>
        <rFont val="Arial"/>
        <family val="2"/>
      </rPr>
      <t>2</t>
    </r>
    <r>
      <rPr>
        <sz val="10"/>
        <rFont val="Arial"/>
        <family val="2"/>
      </rPr>
      <t xml:space="preserve"> from MDB-3-GF to SDB-3-3F</t>
    </r>
  </si>
  <si>
    <t xml:space="preserve">Flush mounted TV terminal outlet, GEWISS eco range </t>
  </si>
  <si>
    <t xml:space="preserve">Medium duty PVC corrugated pipes of diameter 50mm for feeder </t>
  </si>
  <si>
    <t>cables.</t>
  </si>
  <si>
    <t>MCB lXl0A</t>
  </si>
  <si>
    <t>MCB lX16A C/25KA C/25KA</t>
  </si>
  <si>
    <t>MCB lX20A C 25KA</t>
  </si>
  <si>
    <t>MCB lX25A C 20KA</t>
  </si>
  <si>
    <t>MCB lX32A C 15 KA</t>
  </si>
  <si>
    <t>MCB lX4OA C/12.5KA</t>
  </si>
  <si>
    <t>MCB lXS0A C/12.5KA</t>
  </si>
  <si>
    <t>167;00</t>
  </si>
  <si>
    <t>9.5.02</t>
  </si>
  <si>
    <t>9.5.03</t>
  </si>
  <si>
    <t>9.5.04</t>
  </si>
  <si>
    <t>Tyroline rendered</t>
  </si>
  <si>
    <t>Coat</t>
  </si>
  <si>
    <t>Terazzo</t>
  </si>
  <si>
    <t xml:space="preserve"> wa.mor</t>
  </si>
  <si>
    <t>Dlabourer</t>
  </si>
  <si>
    <t>screed</t>
  </si>
  <si>
    <t>Liter</t>
  </si>
  <si>
    <t>PVC flooring</t>
  </si>
  <si>
    <t>Glue</t>
  </si>
  <si>
    <t>Tiler-2</t>
  </si>
  <si>
    <t>Ceramic wall</t>
  </si>
  <si>
    <t>Carp-for</t>
  </si>
  <si>
    <t>listes</t>
  </si>
  <si>
    <t>Carp-2</t>
  </si>
  <si>
    <t>Nails</t>
  </si>
  <si>
    <t>Carp-1</t>
  </si>
  <si>
    <t>Battens</t>
  </si>
  <si>
    <t>Pre-cast concre</t>
  </si>
  <si>
    <t>Pavement</t>
  </si>
  <si>
    <t>8-GLAZING</t>
  </si>
  <si>
    <t>Glass</t>
  </si>
  <si>
    <t>Glazer</t>
  </si>
  <si>
    <t>putty</t>
  </si>
  <si>
    <t>paint</t>
  </si>
  <si>
    <t>painter</t>
  </si>
  <si>
    <t>plastic emulsion</t>
  </si>
  <si>
    <t>PIPES</t>
  </si>
  <si>
    <t>Galvanized pipe</t>
  </si>
  <si>
    <t>Pipes</t>
  </si>
  <si>
    <t>J.comp.</t>
  </si>
  <si>
    <t>gram</t>
  </si>
  <si>
    <t>Plumber</t>
  </si>
  <si>
    <t>Hemp</t>
  </si>
  <si>
    <t>Daily La.</t>
  </si>
  <si>
    <t>Access.</t>
  </si>
  <si>
    <t>Chiseler</t>
  </si>
  <si>
    <t>Diameter 40mm</t>
  </si>
  <si>
    <t xml:space="preserve">          "             BLUE</t>
  </si>
  <si>
    <t>DOUBLE INDICATOR GREEN +RED</t>
  </si>
  <si>
    <t>VIKING TERMINAL BLOCK END STOP FOR EARTHING 35 MM</t>
  </si>
  <si>
    <t>DIST.BUTION BLOCK (BUS BAR) SINGLE lX160A</t>
  </si>
  <si>
    <t>MODULAR DISTRIBUTION BLOCKS 4 POLE 100A</t>
  </si>
  <si>
    <t xml:space="preserve">         "                     "                           "     4 POLE 125A</t>
  </si>
  <si>
    <t xml:space="preserve">        "                       "                          "      4 POLE 125A</t>
  </si>
  <si>
    <t>35MMCONNEcrOR INTERY TERMINAL</t>
  </si>
  <si>
    <t>BAS BAR CONNECTOR FOR 12X3MM (95MM)</t>
  </si>
  <si>
    <t>PHASE BAR TRIPLE POLE FOR 4 ACB</t>
  </si>
  <si>
    <t xml:space="preserve">       "          "     SINGLE POLE FOR 13ACB</t>
  </si>
  <si>
    <t xml:space="preserve">      "        "   24ACB SINGLE POLE</t>
  </si>
  <si>
    <t>PHASE BAR 2X6 DOUBLE POLE 63A</t>
  </si>
  <si>
    <t>PHASE BAR 2X28   "         "</t>
  </si>
  <si>
    <t xml:space="preserve">         "          "4 ACB 3 PHASE</t>
  </si>
  <si>
    <t xml:space="preserve">         "          " 19 ACB 3 PHASE</t>
  </si>
  <si>
    <t>PLASTIC SURFACE M. DISTRIBUTION BOARD FOR 13ACB</t>
  </si>
  <si>
    <t>PLASTIC S.M lROW D.BOARD FOR 27ACB</t>
  </si>
  <si>
    <t>MOLDED CASE CIRCUIT BREAKER 3X400A 36KA</t>
  </si>
  <si>
    <t>4 539.00</t>
  </si>
  <si>
    <t>MCCB 3X500A 36KA</t>
  </si>
  <si>
    <t>6 256.00</t>
  </si>
  <si>
    <t>CARTIRADGE FUSE 2A (8.5X31.s0</t>
  </si>
  <si>
    <r>
      <t>CARTIRADGE FUSE 4A</t>
    </r>
    <r>
      <rPr>
        <sz val="10"/>
        <rFont val="Courier New"/>
        <family val="3"/>
      </rPr>
      <t xml:space="preserve"> (8.5X31.s)</t>
    </r>
  </si>
  <si>
    <t xml:space="preserve">       "          "  6A (8.5 X31.s0</t>
  </si>
  <si>
    <r>
      <t>CARTRIDGE</t>
    </r>
    <r>
      <rPr>
        <sz val="10"/>
        <rFont val="Courier New"/>
        <family val="3"/>
      </rPr>
      <t xml:space="preserve"> FUSE</t>
    </r>
  </si>
  <si>
    <r>
      <t>CARTRADGE</t>
    </r>
    <r>
      <rPr>
        <sz val="10"/>
        <rFont val="Courier New"/>
        <family val="3"/>
      </rPr>
      <t xml:space="preserve"> FUSE 2A</t>
    </r>
  </si>
  <si>
    <t xml:space="preserve">    "     "  4A</t>
  </si>
  <si>
    <t xml:space="preserve">    "     "  6A</t>
  </si>
  <si>
    <t xml:space="preserve">    "     " lOA</t>
  </si>
  <si>
    <t xml:space="preserve">    "     " 16A</t>
  </si>
  <si>
    <t>CARTRAGE FUSE 2A 14X38MM</t>
  </si>
  <si>
    <t>CARTGAGE FUSE 4A 14X38MM</t>
  </si>
  <si>
    <t xml:space="preserve">      "     " 6A   "</t>
  </si>
  <si>
    <t xml:space="preserve">      "     " 10A   "</t>
  </si>
  <si>
    <t xml:space="preserve">      "     " 16A   "</t>
  </si>
  <si>
    <t xml:space="preserve">      "     " 20A   "</t>
  </si>
  <si>
    <t xml:space="preserve">      "     " 25A   "</t>
  </si>
  <si>
    <t>CARTRAGE FUSE 32A 14XsIMM</t>
  </si>
  <si>
    <t xml:space="preserve">        "            "   40A 14XsIMM</t>
  </si>
  <si>
    <t xml:space="preserve">           "                "   5OA 14XsIMM</t>
  </si>
  <si>
    <t xml:space="preserve">           "                "    20A( 14XsnHCR</t>
  </si>
  <si>
    <t>CARTRAGE FUSE 5OA (22X58) HCR1YPE GL</t>
  </si>
  <si>
    <t xml:space="preserve">           "              "       63A 22X s8MM</t>
  </si>
  <si>
    <t xml:space="preserve">           "              "      80A 22Xs8MM</t>
  </si>
  <si>
    <t xml:space="preserve">           "              "      100A 22X58MM HCR 1YPE AM</t>
  </si>
  <si>
    <t xml:space="preserve">           "              "      125A 22Xs8MM HCR 1YPE AM</t>
  </si>
  <si>
    <r>
      <t>3x35/16mm</t>
    </r>
    <r>
      <rPr>
        <vertAlign val="superscript"/>
        <sz val="10"/>
        <rFont val="Arial"/>
        <family val="2"/>
      </rPr>
      <t>2</t>
    </r>
    <r>
      <rPr>
        <sz val="10"/>
        <rFont val="Arial"/>
        <family val="2"/>
      </rPr>
      <t xml:space="preserve"> (1x1000)  STANDARD</t>
    </r>
  </si>
  <si>
    <r>
      <t>3x50/25mm</t>
    </r>
    <r>
      <rPr>
        <vertAlign val="superscript"/>
        <sz val="10"/>
        <rFont val="Arial"/>
        <family val="2"/>
      </rPr>
      <t>2</t>
    </r>
    <r>
      <rPr>
        <sz val="10"/>
        <rFont val="Arial"/>
        <family val="2"/>
      </rPr>
      <t xml:space="preserve"> (1x1000)  STANDARD</t>
    </r>
  </si>
  <si>
    <t>9.1.6</t>
  </si>
  <si>
    <t>9.1.7</t>
  </si>
  <si>
    <t>9.1.8</t>
  </si>
  <si>
    <t>9.1.9</t>
  </si>
  <si>
    <t>9.1.10</t>
  </si>
  <si>
    <t>Dia.110 mm pvc</t>
  </si>
  <si>
    <t>D.laborer</t>
  </si>
  <si>
    <t>Accessories</t>
  </si>
  <si>
    <r>
      <t>PVC Bend 50-45</t>
    </r>
    <r>
      <rPr>
        <vertAlign val="superscript"/>
        <sz val="10"/>
        <rFont val="Arial"/>
        <family val="2"/>
      </rPr>
      <t>o</t>
    </r>
  </si>
  <si>
    <t>Piece</t>
  </si>
  <si>
    <t>CA T No.</t>
  </si>
  <si>
    <t>PRICE</t>
  </si>
  <si>
    <r>
      <t>MODULAR FUSE CARRIER FOR</t>
    </r>
    <r>
      <rPr>
        <sz val="12"/>
        <rFont val="Times New Roman"/>
        <family val="1"/>
      </rPr>
      <t xml:space="preserve"> 20N1PH</t>
    </r>
  </si>
  <si>
    <t>SET OF 4 CAGE TERMINAL FOR DE 250 FOR D 125 &amp; D 160A</t>
  </si>
  <si>
    <t>CliPS ON BLOCKING PLATE 24 MODULES</t>
  </si>
  <si>
    <t>MCCB 3Xl00A DE 100</t>
  </si>
  <si>
    <r>
      <t>MCCB</t>
    </r>
    <r>
      <rPr>
        <i/>
        <sz val="12"/>
        <rFont val="Arial"/>
        <family val="2"/>
      </rPr>
      <t xml:space="preserve"> 3X160A</t>
    </r>
    <r>
      <rPr>
        <sz val="12"/>
        <rFont val="Arial"/>
        <family val="2"/>
      </rPr>
      <t xml:space="preserve"> DE 160</t>
    </r>
  </si>
  <si>
    <t>INSULATED SUPPORT FOR PROTECTIVE TERMINAL SHIELD</t>
  </si>
  <si>
    <t>PROTECTIVE TEMINAL SHIELD</t>
  </si>
  <si>
    <t>9.5.01</t>
  </si>
  <si>
    <t>MOLDED CASE CIRCUIT BREAKER 3XI00A 16KA</t>
  </si>
  <si>
    <t>MCCB 3X125A</t>
  </si>
  <si>
    <t>MCCB 4X63A 16KA</t>
  </si>
  <si>
    <t>MCCB 4XI00A 16KA</t>
  </si>
  <si>
    <t>MCCB 4X125A 16KA</t>
  </si>
  <si>
    <t>MCCB 3X16A</t>
  </si>
  <si>
    <t>MCCB 3X25A</t>
  </si>
  <si>
    <t>1.162.00</t>
  </si>
  <si>
    <t>MCCB 3X40A</t>
  </si>
  <si>
    <t>MCCB 3X63A</t>
  </si>
  <si>
    <t>MCCB 3X25A 36KA</t>
  </si>
  <si>
    <t>MCCB 3X40A 36KA</t>
  </si>
  <si>
    <t>MCCB 3X36A 36KA</t>
  </si>
  <si>
    <t>MCCB 3XIOOA 36KA</t>
  </si>
  <si>
    <t>MCCB 3X125A 36KA</t>
  </si>
  <si>
    <t>MCCB 3X160 36KA</t>
  </si>
  <si>
    <t>MCCB 4X160A 36KA</t>
  </si>
  <si>
    <t>Interest on Retention amount =3% of 5%) = 0.03 x 0.05 x 8,000,000</t>
  </si>
  <si>
    <t>HEAD OFFICE CONTRIBUTION</t>
  </si>
  <si>
    <t>MANAGING STAFF</t>
  </si>
  <si>
    <t>General Manager</t>
  </si>
  <si>
    <t>Technical Head</t>
  </si>
  <si>
    <t xml:space="preserve">Admin. and finance Head </t>
  </si>
  <si>
    <t>Executive Secretary</t>
  </si>
  <si>
    <t>Secretaries</t>
  </si>
  <si>
    <t>Quantity Serveyor</t>
  </si>
  <si>
    <t>Acountant</t>
  </si>
  <si>
    <t xml:space="preserve">Casher </t>
  </si>
  <si>
    <t>Auditer</t>
  </si>
  <si>
    <t>Purchaser</t>
  </si>
  <si>
    <t>Store Clerk</t>
  </si>
  <si>
    <t>Guards</t>
  </si>
  <si>
    <t>OFFICE FURNITURE, EQUIPMENT AND MATERIAL (HEAD OFFICE)</t>
  </si>
  <si>
    <t>SUMMARY OF HEAD OFFICE CONTRIBUTION</t>
  </si>
  <si>
    <t>Managing Staff</t>
  </si>
  <si>
    <t>Light Vehicle</t>
  </si>
  <si>
    <t>TRANSPORT FACILITIES (HEAD OFFICE)</t>
  </si>
  <si>
    <t>Transport Facilities</t>
  </si>
  <si>
    <t>Purchase of bid documents and bid security expense</t>
  </si>
  <si>
    <t>In grade beam</t>
  </si>
  <si>
    <t>In 10cm thick ground slab</t>
  </si>
  <si>
    <t>Provide, cut and fix in position sawn Zigba wood formwork</t>
  </si>
  <si>
    <t>To isolated footing</t>
  </si>
  <si>
    <t>To 100mm thick oil drainage ditch</t>
  </si>
  <si>
    <t>To foundation column</t>
  </si>
  <si>
    <t>To grade beam</t>
  </si>
  <si>
    <t>2.12</t>
  </si>
  <si>
    <t xml:space="preserve"> Diam 20mm. Deformed bar.</t>
  </si>
  <si>
    <t>2.13</t>
  </si>
  <si>
    <t xml:space="preserve"> "       16mm.     "         "</t>
  </si>
  <si>
    <t>2.14</t>
  </si>
  <si>
    <t xml:space="preserve"> "       14mm.     "         "</t>
  </si>
  <si>
    <t>2.15</t>
  </si>
  <si>
    <t xml:space="preserve"> "       12mm    "           "</t>
  </si>
  <si>
    <t>2.16</t>
  </si>
  <si>
    <t xml:space="preserve"> "       8mm    "           "</t>
  </si>
  <si>
    <t xml:space="preserve">Rigid PVC pipes of diameter 50mm for Telephone incoming. </t>
  </si>
  <si>
    <t>9.9.04</t>
  </si>
  <si>
    <t>Manhole in bricks, including reinforced concrete cover with</t>
  </si>
  <si>
    <t>lifting lug, and internally of:</t>
  </si>
  <si>
    <t>A- 1200x1200x700mm for EEPCO incoming</t>
  </si>
  <si>
    <t>C- 500x500x700mm for TELE. incoming</t>
  </si>
  <si>
    <t>9.10 LOW VOLTAGE EARTHING SYSTEM</t>
  </si>
  <si>
    <t xml:space="preserve">Low voltage system earthing rod of 3000x19mm copper rod to be </t>
  </si>
  <si>
    <r>
      <t>SET OF 2</t>
    </r>
    <r>
      <rPr>
        <sz val="9"/>
        <rFont val="Arial"/>
        <family val="2"/>
      </rPr>
      <t xml:space="preserve"> EXTENSION</t>
    </r>
    <r>
      <rPr>
        <sz val="10"/>
        <rFont val="Times New Roman"/>
        <family val="1"/>
      </rPr>
      <t xml:space="preserve"> PIECES FOR</t>
    </r>
    <r>
      <rPr>
        <sz val="10"/>
        <rFont val="Arial"/>
        <family val="2"/>
      </rPr>
      <t xml:space="preserve"> Cf5-230</t>
    </r>
  </si>
  <si>
    <t>ADAPTOR FOR MOUNTING ON RAILL (CLANDS)</t>
  </si>
  <si>
    <t>CLAW WIDTH 17.5 MM ON DIN RAIL</t>
  </si>
  <si>
    <t>PROTECTIVE TERMINAL SHIELD</t>
  </si>
  <si>
    <t>CUPS-ON BLANKING PLATES UNCUT 500MM LENGTH</t>
  </si>
  <si>
    <t>MCB 2X16A B/10KA</t>
  </si>
  <si>
    <t xml:space="preserve">   "    2X20A B/10KA</t>
  </si>
  <si>
    <t xml:space="preserve">   "    2X25A B/lOKA</t>
  </si>
  <si>
    <t xml:space="preserve">    "    2X32A B/10KA</t>
  </si>
  <si>
    <t>MCB B 3Xl0A 10KA</t>
  </si>
  <si>
    <t>MCB B3X16 10KA</t>
  </si>
  <si>
    <t>MCB B 3X20A 10KA</t>
  </si>
  <si>
    <t>06287,</t>
  </si>
  <si>
    <t>MCB B 3XX25A 10KA</t>
  </si>
  <si>
    <t>MCB B3X32A 10KA</t>
  </si>
  <si>
    <r>
      <t>..</t>
    </r>
    <r>
      <rPr>
        <b/>
        <sz val="10"/>
        <rFont val="Arial"/>
        <family val="2"/>
      </rPr>
      <t xml:space="preserve"> 06289</t>
    </r>
    <r>
      <rPr>
        <sz val="3"/>
        <rFont val="Arial"/>
        <family val="2"/>
      </rPr>
      <t xml:space="preserve"> -" ,</t>
    </r>
  </si>
  <si>
    <t>MCB B3X40A .t0KA.</t>
  </si>
  <si>
    <t>MCB 3X50A B/10KA</t>
  </si>
  <si>
    <t>MCB 3X63A B/iOKA</t>
  </si>
  <si>
    <t>MCB 1X2A 10KA</t>
  </si>
  <si>
    <r>
      <t>MCB 1X50A</t>
    </r>
    <r>
      <rPr>
        <sz val="9"/>
        <rFont val="Times New Roman"/>
        <family val="1"/>
      </rPr>
      <t xml:space="preserve"> TYPE COLD CAT</t>
    </r>
    <r>
      <rPr>
        <sz val="9"/>
        <rFont val="Arial"/>
        <family val="2"/>
      </rPr>
      <t xml:space="preserve"> 01911 10KA</t>
    </r>
  </si>
  <si>
    <t>MCB -lX63A   "         "    01912 10ka</t>
  </si>
  <si>
    <r>
      <t>SEAliNG SCREW (FOR TERMINAL BOXES</t>
    </r>
    <r>
      <rPr>
        <sz val="10"/>
        <rFont val="Arial"/>
        <family val="2"/>
      </rPr>
      <t xml:space="preserve"> 05301/04/06</t>
    </r>
  </si>
  <si>
    <r>
      <t>LOCK NO .50 (FOR</t>
    </r>
    <r>
      <rPr>
        <sz val="10"/>
        <rFont val="Arial"/>
        <family val="2"/>
      </rPr>
      <t xml:space="preserve"> BOX 05344-05348)</t>
    </r>
  </si>
  <si>
    <t>MCB 2X4A 10KA</t>
  </si>
  <si>
    <t>Pit excavation for isolated footings to a depth not exceeding 1500mm starting from the reduced level.</t>
  </si>
  <si>
    <t>Back fill  around footings and foundation columns with excavated material from site well rammed in layers of 200 mm thick and compacted at dry density and optimum moisture content.</t>
  </si>
  <si>
    <t>Cart away surplus excavated material and deposit  where approved by the Engineer.</t>
  </si>
  <si>
    <t>25cm thick basaltic or equivalent stone hard core well rolled and consolidated and blinded with crushed stone</t>
  </si>
  <si>
    <t>50 mm thick lean concrete in class C-5 under isolated footings.</t>
  </si>
  <si>
    <t>Ditto  but under grade beams</t>
  </si>
  <si>
    <t>In isolated footings</t>
  </si>
  <si>
    <t>In 100mm thick oil drainage ditch</t>
  </si>
  <si>
    <t>CERAMIC WALL AND FLOOR TILE</t>
  </si>
  <si>
    <t>KLINKER WALL TILES</t>
  </si>
  <si>
    <t>Size 115x240x6mm klinker</t>
  </si>
  <si>
    <t>a) Adhesive for PVC</t>
  </si>
  <si>
    <t>b) Adhesive for PVC</t>
  </si>
  <si>
    <t>Skirting</t>
  </si>
  <si>
    <t>80mm high plastic</t>
  </si>
  <si>
    <t>M. Timber</t>
  </si>
  <si>
    <t>WOODEN PRODUCTS</t>
  </si>
  <si>
    <t>Kerero flush door</t>
  </si>
  <si>
    <t>Mahogany flush door</t>
  </si>
  <si>
    <t>Woyra/Oak flush door</t>
  </si>
  <si>
    <t>Door list /Kerero/</t>
  </si>
  <si>
    <t>Middle list /Kerero/</t>
  </si>
  <si>
    <t>Y4 round /Kerero/</t>
  </si>
  <si>
    <t>Corner list /Kerero/</t>
  </si>
  <si>
    <t>Parquete /Woyra/</t>
  </si>
  <si>
    <t>Partition /Oak plywood/</t>
  </si>
  <si>
    <t>Skirting /Kerero/</t>
  </si>
  <si>
    <t>Wanza F. Industry</t>
  </si>
  <si>
    <t>Hard board</t>
  </si>
  <si>
    <t>8cm Conc.</t>
  </si>
  <si>
    <t>Selected m.</t>
  </si>
  <si>
    <t>GLAZER</t>
  </si>
  <si>
    <t>stucoo</t>
  </si>
  <si>
    <t>wastage 5%</t>
  </si>
  <si>
    <t>Plaster</t>
  </si>
  <si>
    <t xml:space="preserve">     Dia.  32 mm                                                   </t>
  </si>
  <si>
    <t xml:space="preserve">     Dia.  40 mm                                                   </t>
  </si>
  <si>
    <t xml:space="preserve">     Dia.  50 mm                                                   </t>
  </si>
  <si>
    <t>National Mining Corporation Marble</t>
  </si>
  <si>
    <t>a) 1cm. Thick (Granite)</t>
  </si>
  <si>
    <t>N. M. Corporation</t>
  </si>
  <si>
    <t>a) 1cm. Thick (Boka Multi Color)</t>
  </si>
  <si>
    <t>b) 2cm. Thick (Boka Multi Color)</t>
  </si>
  <si>
    <t>c) 3cm. Thick (Boka Multi Color)</t>
  </si>
  <si>
    <t>Ethio Marble</t>
  </si>
  <si>
    <t>Reinforced concrete in C-25  filled in to form work and vibrated around rod reinforcement (steel and form work measured separately)</t>
  </si>
  <si>
    <t>In roof and intermediat beams</t>
  </si>
  <si>
    <t>In lintels</t>
  </si>
  <si>
    <t>In 120mm thick roof slab</t>
  </si>
  <si>
    <t>Ditto but for 100mm parapet</t>
  </si>
  <si>
    <t>Muger</t>
  </si>
  <si>
    <t>Market</t>
  </si>
  <si>
    <t>Bole Bulbula</t>
  </si>
  <si>
    <t>Stone</t>
  </si>
  <si>
    <t>Crushed stone</t>
  </si>
  <si>
    <t>Selected material</t>
  </si>
  <si>
    <t>Gauge 28</t>
  </si>
  <si>
    <t>Gauge 30</t>
  </si>
  <si>
    <t>Gauge 32</t>
  </si>
  <si>
    <t>Gauge 35</t>
  </si>
  <si>
    <t>RHS, SHS &amp; CHS Steel</t>
  </si>
  <si>
    <t>a) 3cm &amp; 4cm.</t>
  </si>
  <si>
    <t xml:space="preserve">KOSPI </t>
  </si>
  <si>
    <t>b) 5cm up to 15cm.</t>
  </si>
  <si>
    <t>ECAFCO</t>
  </si>
  <si>
    <t>Timber for form work</t>
  </si>
  <si>
    <t>WATER PROOFING MATERIALS</t>
  </si>
  <si>
    <t xml:space="preserve">Testudo water proofing </t>
  </si>
  <si>
    <t xml:space="preserve">SETS G. Trading </t>
  </si>
  <si>
    <t>Polyurethane varnish clear</t>
  </si>
  <si>
    <t xml:space="preserve"> 85/100Aspha</t>
  </si>
  <si>
    <t>Aggregate</t>
  </si>
  <si>
    <t>size 12/20</t>
  </si>
  <si>
    <t>Formanii</t>
  </si>
  <si>
    <t>opperator</t>
  </si>
  <si>
    <t>150x150x6 mm ceramic wall tiles tile to a height of 1500mm with cement mortar (1:3). Price shall include grouting with matching colour and other necessary works.</t>
  </si>
  <si>
    <t>115x240x6mm klinker tile of approved color  cladded to external 200mm thick HCB wall with cement sand mortar (1:3).Price shall include two coats of plastering,grouting with matching colour and other necessary works.</t>
  </si>
  <si>
    <t>300x300x11mm non-slippery ceramic flooring bedded and jointed in cement mortar (1:3) . Price shall include 30 mm thick cement mortar backing.</t>
  </si>
  <si>
    <t>Supply and fix pigmented and textured concrete tile with cement sand mortar (1:3).Price shall include grouting with matching colour and other incidental works.</t>
  </si>
  <si>
    <t>Supply and fix 300x300x2mm PVC tile flooring glued with approved type adhesive to cement screed. Price shall include 48 mm thick cement screed (1:3) and approved type fixing accessories. Colour and quality to be  approved by the enginner.</t>
  </si>
  <si>
    <t>Supply and fix marble 300x300mm marble floor with cement sand mortar (1:3).Price shall include polishing chanffering,grouting with matching colour and other necessary works.</t>
  </si>
  <si>
    <t>Supply and fix marble tread size 290x30mm bedded in cement mortar (1:3).</t>
  </si>
  <si>
    <t>Ditto but riser size 170x20mm</t>
  </si>
  <si>
    <t xml:space="preserve">Flush mounted telephone outlet, GEWISS eco range </t>
  </si>
  <si>
    <t>or approved equivalent.</t>
  </si>
  <si>
    <t xml:space="preserve">Flush mounted telephone outlet, Legrand mosaic range or </t>
  </si>
  <si>
    <t>approved equivalent for floor boxes.</t>
  </si>
  <si>
    <t xml:space="preserve">Tele terminal boxes of 200x200x100mm as per </t>
  </si>
  <si>
    <t>Telecomunication Authority's requirement.</t>
  </si>
  <si>
    <t>Indexed Hr. Cost</t>
  </si>
  <si>
    <t xml:space="preserve"> Unit price with over head/profit </t>
  </si>
  <si>
    <t>Description of work Item</t>
  </si>
  <si>
    <t xml:space="preserve">mortar pointing </t>
  </si>
  <si>
    <t>Direct cost A+ B+C</t>
  </si>
  <si>
    <t>Total Carried to Summary Birr</t>
  </si>
  <si>
    <t xml:space="preserve"> GLAZING</t>
  </si>
  <si>
    <t>Supply and fix metal door made off RHS size 40x40x2.5mm frame and covered with 2mm thick flat metal sheet on both sides all as per the detail  drawing. Price shall include approved type hinge, cylindrical lock,all other necessary accessories,one coat of primer and two coats of synhetic paint.</t>
  </si>
  <si>
    <t xml:space="preserve"> Sliding door D6 size 2000 x 3100mm  </t>
  </si>
  <si>
    <t>Reinforced concrete in C-25  filled in to form work and vibrated around steel reinforcement (formwork and reinforcement m/s)</t>
  </si>
  <si>
    <t>In footings</t>
  </si>
  <si>
    <t>In foundation columns</t>
  </si>
  <si>
    <r>
      <t>5x16mm</t>
    </r>
    <r>
      <rPr>
        <vertAlign val="superscript"/>
        <sz val="10"/>
        <rFont val="Arial"/>
        <family val="2"/>
      </rPr>
      <t>2</t>
    </r>
    <r>
      <rPr>
        <sz val="10"/>
        <rFont val="Arial"/>
        <family val="2"/>
      </rPr>
      <t xml:space="preserve"> from MDB-4-GF to SDB-4-4F</t>
    </r>
  </si>
  <si>
    <r>
      <t>5x16mm</t>
    </r>
    <r>
      <rPr>
        <vertAlign val="superscript"/>
        <sz val="10"/>
        <rFont val="Arial"/>
        <family val="2"/>
      </rPr>
      <t>2</t>
    </r>
    <r>
      <rPr>
        <sz val="10"/>
        <rFont val="Arial"/>
        <family val="2"/>
      </rPr>
      <t xml:space="preserve"> from MDB-4-GF to SDB-4-5F</t>
    </r>
  </si>
  <si>
    <r>
      <t>5x10mm</t>
    </r>
    <r>
      <rPr>
        <vertAlign val="superscript"/>
        <sz val="10"/>
        <rFont val="Arial"/>
        <family val="2"/>
      </rPr>
      <t>2</t>
    </r>
    <r>
      <rPr>
        <sz val="10"/>
        <rFont val="Arial"/>
        <family val="2"/>
      </rPr>
      <t xml:space="preserve"> from MDB-4-GF to LIFT CB</t>
    </r>
  </si>
  <si>
    <r>
      <t>3x6mm</t>
    </r>
    <r>
      <rPr>
        <vertAlign val="superscript"/>
        <sz val="10"/>
        <rFont val="Arial"/>
        <family val="2"/>
      </rPr>
      <t>2</t>
    </r>
    <r>
      <rPr>
        <sz val="10"/>
        <rFont val="Arial"/>
        <family val="2"/>
      </rPr>
      <t xml:space="preserve"> from SDB-4-1F to SDB-4-1F-1</t>
    </r>
  </si>
  <si>
    <r>
      <t>3x6mm</t>
    </r>
    <r>
      <rPr>
        <vertAlign val="superscript"/>
        <sz val="10"/>
        <rFont val="Arial"/>
        <family val="2"/>
      </rPr>
      <t>2</t>
    </r>
    <r>
      <rPr>
        <sz val="10"/>
        <rFont val="Arial"/>
        <family val="2"/>
      </rPr>
      <t xml:space="preserve"> from SDB-4-1F to SDB-4-1F-2</t>
    </r>
  </si>
  <si>
    <r>
      <t>3x6mm</t>
    </r>
    <r>
      <rPr>
        <vertAlign val="superscript"/>
        <sz val="10"/>
        <rFont val="Arial"/>
        <family val="2"/>
      </rPr>
      <t>2</t>
    </r>
    <r>
      <rPr>
        <sz val="10"/>
        <rFont val="Arial"/>
        <family val="2"/>
      </rPr>
      <t xml:space="preserve"> from SDB-4-1F to SDB-4-1F-3</t>
    </r>
  </si>
  <si>
    <r>
      <t>3x6mm</t>
    </r>
    <r>
      <rPr>
        <vertAlign val="superscript"/>
        <sz val="10"/>
        <rFont val="Arial"/>
        <family val="2"/>
      </rPr>
      <t>2</t>
    </r>
    <r>
      <rPr>
        <sz val="10"/>
        <rFont val="Arial"/>
        <family val="2"/>
      </rPr>
      <t xml:space="preserve"> from SDB-4-1F to SDB-4-1F-4</t>
    </r>
  </si>
  <si>
    <r>
      <t>3x6mm</t>
    </r>
    <r>
      <rPr>
        <vertAlign val="superscript"/>
        <sz val="10"/>
        <rFont val="Arial"/>
        <family val="2"/>
      </rPr>
      <t>2</t>
    </r>
    <r>
      <rPr>
        <sz val="10"/>
        <rFont val="Arial"/>
        <family val="2"/>
      </rPr>
      <t xml:space="preserve"> from SDB-4-1F to SDB-4-1F-5</t>
    </r>
  </si>
  <si>
    <r>
      <t>3x6mm</t>
    </r>
    <r>
      <rPr>
        <vertAlign val="superscript"/>
        <sz val="10"/>
        <rFont val="Arial"/>
        <family val="2"/>
      </rPr>
      <t>2</t>
    </r>
    <r>
      <rPr>
        <sz val="10"/>
        <rFont val="Arial"/>
        <family val="2"/>
      </rPr>
      <t xml:space="preserve"> from SDB-4-1F to SDB-4-1F-6</t>
    </r>
  </si>
  <si>
    <t>BODY JOINT FOR 250X65MM</t>
  </si>
  <si>
    <t>JUNCTION ELEMENT FOR TRUNKING</t>
  </si>
  <si>
    <t>JUNCTION CABLE</t>
  </si>
  <si>
    <t>CUP ON PARTITION FOR 50MM DEPTH (130X50MM)</t>
  </si>
  <si>
    <t xml:space="preserve">    "     "         "            "    65MM DEPTH (130X50MM)</t>
  </si>
  <si>
    <t>FIXING LUG FOR TRUNKING</t>
  </si>
  <si>
    <t>ALUMINIUM TRUNKING 75XSOMM</t>
  </si>
  <si>
    <t>ALUMINIUM TRUNKING 100X50MM</t>
  </si>
  <si>
    <t>END CAP FOR 75X50MM</t>
  </si>
  <si>
    <t>END CAP FOR 100X50MM</t>
  </si>
  <si>
    <t>Ditto but for SDB-4-3F-6 and consisting of:-</t>
  </si>
  <si>
    <r>
      <t>3x95/50+50mm</t>
    </r>
    <r>
      <rPr>
        <vertAlign val="superscript"/>
        <sz val="10"/>
        <rFont val="Arial"/>
        <family val="2"/>
      </rPr>
      <t>2</t>
    </r>
    <r>
      <rPr>
        <sz val="10"/>
        <rFont val="Arial"/>
        <family val="2"/>
      </rPr>
      <t xml:space="preserve"> feeder cable from CMDB to MDB-3-GF</t>
    </r>
  </si>
  <si>
    <t>5.6.05</t>
  </si>
  <si>
    <t>Bell for 220 V operated to be fed from a lighting circuit.</t>
  </si>
  <si>
    <t xml:space="preserve">Ditto but exceeding </t>
  </si>
  <si>
    <t>asphalt AC85/100 -</t>
  </si>
  <si>
    <t>Aggrgate size 12-</t>
  </si>
  <si>
    <t>20cm. Thick H.C.B. wall</t>
  </si>
  <si>
    <t>H.C.B.</t>
  </si>
  <si>
    <t>(Yrs)</t>
  </si>
  <si>
    <t>(Birr/Hr)</t>
  </si>
  <si>
    <t xml:space="preserve"> (Birr/Hr)</t>
  </si>
  <si>
    <t>%</t>
  </si>
  <si>
    <t>% N</t>
  </si>
  <si>
    <t>Lit/h/Hp</t>
  </si>
  <si>
    <t>(Lit/Hr)</t>
  </si>
  <si>
    <t>%V</t>
  </si>
  <si>
    <t>C</t>
  </si>
  <si>
    <t>D</t>
  </si>
  <si>
    <t>E</t>
  </si>
  <si>
    <t>F</t>
  </si>
  <si>
    <t>G</t>
  </si>
  <si>
    <t>H</t>
  </si>
  <si>
    <t>J</t>
  </si>
  <si>
    <t>K</t>
  </si>
  <si>
    <t>L</t>
  </si>
  <si>
    <t>M</t>
  </si>
  <si>
    <t>N</t>
  </si>
  <si>
    <t>O</t>
  </si>
  <si>
    <t>P</t>
  </si>
  <si>
    <t>Q</t>
  </si>
  <si>
    <t>R</t>
  </si>
  <si>
    <t>S</t>
  </si>
  <si>
    <t>T</t>
  </si>
  <si>
    <t>U</t>
  </si>
  <si>
    <t>W</t>
  </si>
  <si>
    <t>X</t>
  </si>
  <si>
    <t>Y</t>
  </si>
  <si>
    <t>Z</t>
  </si>
  <si>
    <r>
      <t>Z</t>
    </r>
    <r>
      <rPr>
        <b/>
        <vertAlign val="superscript"/>
        <sz val="8"/>
        <rFont val="Arial"/>
        <family val="2"/>
      </rPr>
      <t>1</t>
    </r>
  </si>
  <si>
    <r>
      <t>A</t>
    </r>
    <r>
      <rPr>
        <b/>
        <vertAlign val="superscript"/>
        <sz val="8"/>
        <rFont val="Arial"/>
        <family val="2"/>
      </rPr>
      <t>1</t>
    </r>
  </si>
  <si>
    <t xml:space="preserve">Dump Truck </t>
  </si>
  <si>
    <t>5 M3</t>
  </si>
  <si>
    <t>Sub distrbution board SDB-4-5F</t>
  </si>
  <si>
    <t>Board</t>
  </si>
  <si>
    <t>Soap holder with all</t>
  </si>
  <si>
    <t>Diameter 60mm</t>
  </si>
  <si>
    <t>Diameter 75mm</t>
  </si>
  <si>
    <t>Diameter 110mm</t>
  </si>
  <si>
    <t>SDB-1-GF-COM</t>
  </si>
  <si>
    <t>c) Dommed nail</t>
  </si>
  <si>
    <t>aggriga</t>
  </si>
  <si>
    <t>Vibretor</t>
  </si>
  <si>
    <t>D.leaboure</t>
  </si>
  <si>
    <t>vib.opret</t>
  </si>
  <si>
    <t>C-20 concrete</t>
  </si>
  <si>
    <t>Bar bend</t>
  </si>
  <si>
    <t>carp-1</t>
  </si>
  <si>
    <t>C-25 concrete</t>
  </si>
  <si>
    <t>Cement</t>
  </si>
  <si>
    <t>Mason-1</t>
  </si>
  <si>
    <t>vib. Opret</t>
  </si>
  <si>
    <t>Barbender</t>
  </si>
  <si>
    <t>Carp.1</t>
  </si>
  <si>
    <t>C-30 concrete</t>
  </si>
  <si>
    <t>Form work</t>
  </si>
  <si>
    <t>carp-2</t>
  </si>
  <si>
    <t>Nail</t>
  </si>
  <si>
    <t>D-laboure</t>
  </si>
  <si>
    <t>Steel rein.</t>
  </si>
  <si>
    <t>Black iron</t>
  </si>
  <si>
    <t>cut.mac</t>
  </si>
  <si>
    <t>Machi.op</t>
  </si>
  <si>
    <t>Cement mortar</t>
  </si>
  <si>
    <t>Masion-1</t>
  </si>
  <si>
    <t xml:space="preserve">production (1:3) </t>
  </si>
  <si>
    <t>D.Labour</t>
  </si>
  <si>
    <t>wa.cement</t>
  </si>
  <si>
    <t>Mix.opre</t>
  </si>
  <si>
    <t>wa. sand</t>
  </si>
  <si>
    <t>Mas. Form</t>
  </si>
  <si>
    <t>Mortar</t>
  </si>
  <si>
    <t>Mason-2</t>
  </si>
  <si>
    <t>sprayer</t>
  </si>
  <si>
    <t>G/leadr</t>
  </si>
  <si>
    <t>d/laborer</t>
  </si>
  <si>
    <t>water</t>
  </si>
  <si>
    <t>M.fcrman</t>
  </si>
  <si>
    <t>The sub-base course shall consist of selected granular material backfill in conformity with lines, grades and dimension shown on the  drawing. It shall be backfilled in horizontal  layers not exceeding 150mm. thick. Each layer  shall be moisted or dried to the optimum moisture content as required and compacted with 10-16 tone roller in eight passes. The final with  10-16 tone roller in eight passes. The final level shall be sprinkled with water and thoughly rolled to the required thickness.</t>
  </si>
  <si>
    <t>Gypsum fine coat</t>
  </si>
  <si>
    <t>Gypsum</t>
  </si>
  <si>
    <t>solvent</t>
  </si>
  <si>
    <t>lit</t>
  </si>
  <si>
    <t>G-28galvanized</t>
  </si>
  <si>
    <t>sheet metal copping</t>
  </si>
  <si>
    <t>metal</t>
  </si>
  <si>
    <t>Bulk excavation</t>
  </si>
  <si>
    <t xml:space="preserve">to a depth not </t>
  </si>
  <si>
    <t>exceeding 1500mm</t>
  </si>
  <si>
    <t>d laborer</t>
  </si>
  <si>
    <t>Dozer</t>
  </si>
  <si>
    <t>Grader</t>
  </si>
  <si>
    <t>Construct manholes on a sanitary sewer drainage systems as where shown on the drawing in precast concrete round pipes on 150mm thick reinforced concrete bottom slab in dia.10c.c150mm both ways and 120mm thick reinforced  cover slab in dia.10c.c150 mm both ways. Price shall include all assistance civil works and handle.</t>
  </si>
  <si>
    <t xml:space="preserve">        a) dia. 600 mm</t>
  </si>
  <si>
    <t xml:space="preserve">            average depth = 850 mm</t>
  </si>
  <si>
    <t xml:space="preserve">        b) dia.  800 mm</t>
  </si>
  <si>
    <t xml:space="preserve">            average depth = 1200 mm</t>
  </si>
  <si>
    <t>10.4.9</t>
  </si>
  <si>
    <t>Ditto item number 10.4.8 above , with non ventilated cast iron  cover as where shown on the drawing.</t>
  </si>
  <si>
    <r>
      <t>CUPS</t>
    </r>
    <r>
      <rPr>
        <sz val="10"/>
        <rFont val="Arial"/>
        <family val="2"/>
      </rPr>
      <t xml:space="preserve"> ON</t>
    </r>
    <r>
      <rPr>
        <sz val="9"/>
        <rFont val="Times New Roman"/>
        <family val="1"/>
      </rPr>
      <t xml:space="preserve"> PARTITION</t>
    </r>
    <r>
      <rPr>
        <sz val="10"/>
        <rFont val="Arial"/>
        <family val="2"/>
      </rPr>
      <t xml:space="preserve"> FOR</t>
    </r>
    <r>
      <rPr>
        <sz val="9"/>
        <rFont val="Times New Roman"/>
        <family val="1"/>
      </rPr>
      <t xml:space="preserve"> MOSAIC</t>
    </r>
    <r>
      <rPr>
        <sz val="10"/>
        <rFont val="Arial"/>
        <family val="2"/>
      </rPr>
      <t xml:space="preserve"> ON 100X50 TRUNKING</t>
    </r>
  </si>
  <si>
    <r>
      <t>3x6mm</t>
    </r>
    <r>
      <rPr>
        <vertAlign val="superscript"/>
        <sz val="10"/>
        <rFont val="Arial"/>
        <family val="2"/>
      </rPr>
      <t>2</t>
    </r>
    <r>
      <rPr>
        <sz val="10"/>
        <rFont val="Arial"/>
        <family val="2"/>
      </rPr>
      <t xml:space="preserve"> from SDB-4-1F to SDB-4-1F-7</t>
    </r>
  </si>
  <si>
    <r>
      <t>3x6mm</t>
    </r>
    <r>
      <rPr>
        <vertAlign val="superscript"/>
        <sz val="10"/>
        <rFont val="Arial"/>
        <family val="2"/>
      </rPr>
      <t>2</t>
    </r>
    <r>
      <rPr>
        <sz val="10"/>
        <rFont val="Arial"/>
        <family val="2"/>
      </rPr>
      <t xml:space="preserve"> from SDB-4-1F to SDB-4-1F-8</t>
    </r>
  </si>
  <si>
    <r>
      <t>3x6mm</t>
    </r>
    <r>
      <rPr>
        <vertAlign val="superscript"/>
        <sz val="10"/>
        <rFont val="Arial"/>
        <family val="2"/>
      </rPr>
      <t>2</t>
    </r>
    <r>
      <rPr>
        <sz val="10"/>
        <rFont val="Arial"/>
        <family val="2"/>
      </rPr>
      <t xml:space="preserve"> from SDB-4-1F to SDB-4-1F-9</t>
    </r>
  </si>
  <si>
    <r>
      <t>3x10mm</t>
    </r>
    <r>
      <rPr>
        <vertAlign val="superscript"/>
        <sz val="10"/>
        <rFont val="Arial"/>
        <family val="2"/>
      </rPr>
      <t>2</t>
    </r>
    <r>
      <rPr>
        <sz val="10"/>
        <rFont val="Arial"/>
        <family val="2"/>
      </rPr>
      <t xml:space="preserve"> from SDB-4-2F to SDB-4-2F-1</t>
    </r>
  </si>
  <si>
    <r>
      <t>3x10mm</t>
    </r>
    <r>
      <rPr>
        <vertAlign val="superscript"/>
        <sz val="10"/>
        <rFont val="Arial"/>
        <family val="2"/>
      </rPr>
      <t>2</t>
    </r>
    <r>
      <rPr>
        <sz val="10"/>
        <rFont val="Arial"/>
        <family val="2"/>
      </rPr>
      <t xml:space="preserve"> from SDB-4-2F to SDB-4-2F-2</t>
    </r>
  </si>
  <si>
    <r>
      <t>3x10mm</t>
    </r>
    <r>
      <rPr>
        <vertAlign val="superscript"/>
        <sz val="10"/>
        <rFont val="Arial"/>
        <family val="2"/>
      </rPr>
      <t>2</t>
    </r>
    <r>
      <rPr>
        <sz val="10"/>
        <rFont val="Arial"/>
        <family val="2"/>
      </rPr>
      <t xml:space="preserve"> from SDB-4-2F to SDB-4-2F-3</t>
    </r>
  </si>
  <si>
    <r>
      <t>3x10mm</t>
    </r>
    <r>
      <rPr>
        <vertAlign val="superscript"/>
        <sz val="10"/>
        <rFont val="Arial"/>
        <family val="2"/>
      </rPr>
      <t>2</t>
    </r>
    <r>
      <rPr>
        <sz val="10"/>
        <rFont val="Arial"/>
        <family val="2"/>
      </rPr>
      <t xml:space="preserve"> from SDB-4-2F to SDB-4-2F-4</t>
    </r>
  </si>
  <si>
    <r>
      <t>3x10mm</t>
    </r>
    <r>
      <rPr>
        <vertAlign val="superscript"/>
        <sz val="10"/>
        <rFont val="Arial"/>
        <family val="2"/>
      </rPr>
      <t>2</t>
    </r>
    <r>
      <rPr>
        <sz val="10"/>
        <rFont val="Arial"/>
        <family val="2"/>
      </rPr>
      <t xml:space="preserve"> from SDB-4-2F to SDB-4-2F-5</t>
    </r>
  </si>
  <si>
    <r>
      <t>3x10mm</t>
    </r>
    <r>
      <rPr>
        <vertAlign val="superscript"/>
        <sz val="10"/>
        <rFont val="Arial"/>
        <family val="2"/>
      </rPr>
      <t>2</t>
    </r>
    <r>
      <rPr>
        <sz val="10"/>
        <rFont val="Arial"/>
        <family val="2"/>
      </rPr>
      <t xml:space="preserve"> from SDB-4-2F to SDB-4-2F-6</t>
    </r>
  </si>
  <si>
    <t>Chip wood 8mm thick</t>
  </si>
  <si>
    <t>4   pcs MCB of 16A, 1ph, Icu=6KA.</t>
  </si>
  <si>
    <t xml:space="preserve"> </t>
  </si>
  <si>
    <r>
      <t>JUNCTION</t>
    </r>
    <r>
      <rPr>
        <sz val="19"/>
        <rFont val="Times New Roman"/>
        <family val="1"/>
      </rPr>
      <t xml:space="preserve"> m</t>
    </r>
    <r>
      <rPr>
        <sz val="10"/>
        <rFont val="Times New Roman"/>
        <family val="1"/>
      </rPr>
      <t xml:space="preserve"> WITH SEPARATION PARl1l10N</t>
    </r>
    <r>
      <rPr>
        <sz val="10"/>
        <rFont val="Arial"/>
        <family val="2"/>
      </rPr>
      <t xml:space="preserve"> FOR 160X50/65MM</t>
    </r>
  </si>
  <si>
    <r>
      <t>COVER</t>
    </r>
    <r>
      <rPr>
        <sz val="10"/>
        <rFont val="Arial"/>
        <family val="2"/>
      </rPr>
      <t xml:space="preserve"> JOINT FOR 130XSOMM</t>
    </r>
  </si>
  <si>
    <r>
      <t>JUNCTION</t>
    </r>
    <r>
      <rPr>
        <sz val="11"/>
        <rFont val="Arial"/>
        <family val="2"/>
      </rPr>
      <t xml:space="preserve"> BOX 110Xll0X50</t>
    </r>
  </si>
  <si>
    <t>END CAP FOR 160X50X65MM</t>
  </si>
  <si>
    <t>CHANGEABLE INTERNAL ANGLE FOR 160XSO/60MM</t>
  </si>
  <si>
    <t>CHANGEABLE EXTERNAL ANGLE FOR 160X50/65MM</t>
  </si>
  <si>
    <t>CHANGEABLE FLAT ANGLE FOR 160X50/65MM</t>
  </si>
  <si>
    <r>
      <t>COVER</t>
    </r>
    <r>
      <rPr>
        <sz val="11"/>
        <rFont val="Arial"/>
        <family val="2"/>
      </rPr>
      <t xml:space="preserve"> FOINT FOR 160X50/65MM</t>
    </r>
  </si>
  <si>
    <r>
      <t>FRAM GAUON FOR</t>
    </r>
    <r>
      <rPr>
        <sz val="9"/>
        <rFont val="Times New Roman"/>
        <family val="1"/>
      </rPr>
      <t xml:space="preserve"> VERTICAL</t>
    </r>
    <r>
      <rPr>
        <sz val="10"/>
        <rFont val="Arial"/>
        <family val="2"/>
      </rPr>
      <t xml:space="preserve"> ON 12.5MM</t>
    </r>
  </si>
  <si>
    <t>11x20</t>
  </si>
  <si>
    <r>
      <t xml:space="preserve">Scraper, </t>
    </r>
    <r>
      <rPr>
        <sz val="6"/>
        <rFont val="Arial"/>
        <family val="2"/>
      </rPr>
      <t>pneu. tired, self prop.</t>
    </r>
  </si>
  <si>
    <t>14 –16M3</t>
  </si>
  <si>
    <t>29.5x29</t>
  </si>
  <si>
    <t xml:space="preserve">Crawler Dozer,  </t>
  </si>
  <si>
    <t>140 – 180 HP</t>
  </si>
  <si>
    <t xml:space="preserve">Crawler Dozer, </t>
  </si>
  <si>
    <t>200 – 250HP</t>
  </si>
  <si>
    <t>Crawler Dozer,</t>
  </si>
  <si>
    <t>280 – 330 HP</t>
  </si>
  <si>
    <t xml:space="preserve">Crusher plant </t>
  </si>
  <si>
    <t>51 – 100 TPH</t>
  </si>
  <si>
    <t>10x20</t>
  </si>
  <si>
    <t>Crusher plant</t>
  </si>
  <si>
    <t>Asphalt Paver, Crawler</t>
  </si>
  <si>
    <t>5-7m</t>
  </si>
  <si>
    <t>Asphalt plant</t>
  </si>
  <si>
    <t>130 - 150 TPH</t>
  </si>
  <si>
    <r>
      <t>Asphalt Kettle,</t>
    </r>
    <r>
      <rPr>
        <sz val="6"/>
        <rFont val="Arial"/>
        <family val="2"/>
      </rPr>
      <t xml:space="preserve"> trailer mounted</t>
    </r>
  </si>
  <si>
    <t>1500-2000 Lit</t>
  </si>
  <si>
    <t>7.5x16</t>
  </si>
  <si>
    <t>Spreader, Aggregate</t>
  </si>
  <si>
    <t>5 – 7m</t>
  </si>
  <si>
    <t>Concrete Vibrator</t>
  </si>
  <si>
    <t>4 Hp</t>
  </si>
  <si>
    <r>
      <t xml:space="preserve">Concrete Mixer, </t>
    </r>
    <r>
      <rPr>
        <sz val="6"/>
        <rFont val="Arial"/>
        <family val="2"/>
      </rPr>
      <t>trailer mounted</t>
    </r>
  </si>
  <si>
    <t>250 Lit.</t>
  </si>
  <si>
    <t>6.5x16</t>
  </si>
  <si>
    <t>500 Lit.</t>
  </si>
  <si>
    <t>1 pc   digital Kwh meter</t>
  </si>
  <si>
    <t>5.1.02</t>
  </si>
  <si>
    <t>1 pc   MCB of 25A/3P, Icu=15KA</t>
  </si>
  <si>
    <t>1 pc   MCB of 16A/3P, Icu=10KA</t>
  </si>
  <si>
    <t>1 pc   MCB of 16A/1P, Icu=10KA</t>
  </si>
  <si>
    <t>1 pc   MCB of 10A/1P, Icu=10KA</t>
  </si>
  <si>
    <t>5.1.03</t>
  </si>
  <si>
    <t>carp-II</t>
  </si>
  <si>
    <t>carp-I</t>
  </si>
  <si>
    <t>Vibret.</t>
  </si>
  <si>
    <t>Cement sand mor.</t>
  </si>
  <si>
    <t>CHANGEABLE EXTERNAL ANGLE FOR 75X50MM</t>
  </si>
  <si>
    <t>CHANGEABLE FLAT ANGLE FOR 75X50MM</t>
  </si>
  <si>
    <r>
      <t>JUNCTION</t>
    </r>
    <r>
      <rPr>
        <sz val="10"/>
        <rFont val="Times New Roman"/>
        <family val="1"/>
      </rPr>
      <t xml:space="preserve"> (T) WITH SEPAREllON PARTITION</t>
    </r>
    <r>
      <rPr>
        <sz val="10"/>
        <rFont val="Arial"/>
        <family val="2"/>
      </rPr>
      <t xml:space="preserve"> FOR 75X50MM</t>
    </r>
  </si>
  <si>
    <r>
      <t>COVER JOINT</t>
    </r>
    <r>
      <rPr>
        <sz val="10"/>
        <rFont val="Arial"/>
        <family val="2"/>
      </rPr>
      <t xml:space="preserve"> FOR 75X50MM</t>
    </r>
  </si>
  <si>
    <r>
      <t>JUNCTION</t>
    </r>
    <r>
      <rPr>
        <sz val="9"/>
        <rFont val="Arial"/>
        <family val="2"/>
      </rPr>
      <t xml:space="preserve"> BOX FOR TRUNKING 75X75X35</t>
    </r>
  </si>
  <si>
    <t>END CAP FOR 130X50MM</t>
  </si>
  <si>
    <r>
      <t>1x1mm</t>
    </r>
    <r>
      <rPr>
        <vertAlign val="superscript"/>
        <sz val="10"/>
        <rFont val="Arial"/>
        <family val="2"/>
      </rPr>
      <t>2</t>
    </r>
    <r>
      <rPr>
        <sz val="10"/>
        <rFont val="Arial"/>
        <family val="2"/>
      </rPr>
      <t xml:space="preserve"> (Differnet Color)</t>
    </r>
  </si>
  <si>
    <r>
      <t>1x10mm</t>
    </r>
    <r>
      <rPr>
        <vertAlign val="superscript"/>
        <sz val="10"/>
        <rFont val="Arial"/>
        <family val="2"/>
      </rPr>
      <t>2</t>
    </r>
    <r>
      <rPr>
        <sz val="10"/>
        <rFont val="Arial"/>
        <family val="2"/>
      </rPr>
      <t xml:space="preserve"> FLEX wire (50x100)</t>
    </r>
  </si>
  <si>
    <t>Semi Flexible NYY 0.6/1KV</t>
  </si>
  <si>
    <r>
      <t>3x2.5mm</t>
    </r>
    <r>
      <rPr>
        <vertAlign val="superscript"/>
        <sz val="10"/>
        <rFont val="Arial"/>
        <family val="2"/>
      </rPr>
      <t>2</t>
    </r>
    <r>
      <rPr>
        <sz val="10"/>
        <rFont val="Arial"/>
        <family val="2"/>
      </rPr>
      <t xml:space="preserve"> (1x1000)  RIGID</t>
    </r>
  </si>
  <si>
    <r>
      <t>4x2.5mm</t>
    </r>
    <r>
      <rPr>
        <vertAlign val="superscript"/>
        <sz val="10"/>
        <rFont val="Arial"/>
        <family val="2"/>
      </rPr>
      <t xml:space="preserve">2 </t>
    </r>
    <r>
      <rPr>
        <sz val="10"/>
        <rFont val="Arial"/>
        <family val="2"/>
      </rPr>
      <t>(1x1000)  RIGID</t>
    </r>
  </si>
  <si>
    <r>
      <t>4x4mm</t>
    </r>
    <r>
      <rPr>
        <vertAlign val="superscript"/>
        <sz val="10"/>
        <rFont val="Arial"/>
        <family val="2"/>
      </rPr>
      <t xml:space="preserve">2 </t>
    </r>
    <r>
      <rPr>
        <sz val="10"/>
        <rFont val="Arial"/>
        <family val="2"/>
      </rPr>
      <t>(1x1000)  RIGID</t>
    </r>
  </si>
  <si>
    <r>
      <t>4x6mm</t>
    </r>
    <r>
      <rPr>
        <vertAlign val="superscript"/>
        <sz val="10"/>
        <rFont val="Arial"/>
        <family val="2"/>
      </rPr>
      <t xml:space="preserve">2 </t>
    </r>
    <r>
      <rPr>
        <sz val="10"/>
        <rFont val="Arial"/>
        <family val="2"/>
      </rPr>
      <t>(2x1000)  RIGID</t>
    </r>
  </si>
  <si>
    <r>
      <t>4x10mm</t>
    </r>
    <r>
      <rPr>
        <vertAlign val="superscript"/>
        <sz val="10"/>
        <rFont val="Arial"/>
        <family val="2"/>
      </rPr>
      <t xml:space="preserve">2 </t>
    </r>
    <r>
      <rPr>
        <sz val="10"/>
        <rFont val="Arial"/>
        <family val="2"/>
      </rPr>
      <t>(2x1000)  RIGID</t>
    </r>
  </si>
  <si>
    <r>
      <t>4x16mm</t>
    </r>
    <r>
      <rPr>
        <vertAlign val="superscript"/>
        <sz val="10"/>
        <rFont val="Arial"/>
        <family val="2"/>
      </rPr>
      <t xml:space="preserve">2 </t>
    </r>
    <r>
      <rPr>
        <sz val="10"/>
        <rFont val="Arial"/>
        <family val="2"/>
      </rPr>
      <t>(4x1000)  RIGID</t>
    </r>
  </si>
  <si>
    <r>
      <t>5x10mm</t>
    </r>
    <r>
      <rPr>
        <vertAlign val="superscript"/>
        <sz val="10"/>
        <rFont val="Arial"/>
        <family val="2"/>
      </rPr>
      <t xml:space="preserve">2 </t>
    </r>
    <r>
      <rPr>
        <sz val="10"/>
        <rFont val="Arial"/>
        <family val="2"/>
      </rPr>
      <t>(2x1000)  RIGID</t>
    </r>
  </si>
  <si>
    <r>
      <t>5x16mm</t>
    </r>
    <r>
      <rPr>
        <vertAlign val="superscript"/>
        <sz val="10"/>
        <rFont val="Arial"/>
        <family val="2"/>
      </rPr>
      <t xml:space="preserve">2 </t>
    </r>
    <r>
      <rPr>
        <sz val="10"/>
        <rFont val="Arial"/>
        <family val="2"/>
      </rPr>
      <t>(2x1000)  RIGID</t>
    </r>
  </si>
  <si>
    <r>
      <t>3x4mm</t>
    </r>
    <r>
      <rPr>
        <vertAlign val="superscript"/>
        <sz val="10"/>
        <rFont val="Arial"/>
        <family val="2"/>
      </rPr>
      <t>2</t>
    </r>
    <r>
      <rPr>
        <sz val="10"/>
        <rFont val="Arial"/>
        <family val="2"/>
      </rPr>
      <t xml:space="preserve"> (1x1000)  RIGID</t>
    </r>
  </si>
  <si>
    <r>
      <t>3x6mm</t>
    </r>
    <r>
      <rPr>
        <vertAlign val="superscript"/>
        <sz val="10"/>
        <rFont val="Arial"/>
        <family val="2"/>
      </rPr>
      <t>2</t>
    </r>
    <r>
      <rPr>
        <sz val="10"/>
        <rFont val="Arial"/>
        <family val="2"/>
      </rPr>
      <t xml:space="preserve"> (1x1000)  RIGID</t>
    </r>
  </si>
  <si>
    <t>Selec.mat</t>
  </si>
  <si>
    <t xml:space="preserve"> quarry waste</t>
  </si>
  <si>
    <t>25 cm thick hard</t>
  </si>
  <si>
    <t>stone</t>
  </si>
  <si>
    <t>mason-1</t>
  </si>
  <si>
    <t>core</t>
  </si>
  <si>
    <t>forman</t>
  </si>
  <si>
    <t>2- CONCRETE WORK</t>
  </si>
  <si>
    <t>cement</t>
  </si>
  <si>
    <t>sand</t>
  </si>
  <si>
    <t>Mason</t>
  </si>
  <si>
    <t>6000 Lit</t>
  </si>
  <si>
    <t>Farm Tractor, wheel type</t>
  </si>
  <si>
    <t>75 – 80 Hp</t>
  </si>
  <si>
    <t>F11.2x20/R15.5x35</t>
  </si>
  <si>
    <t>2100&amp;4000</t>
  </si>
  <si>
    <t>Truck fork lift</t>
  </si>
  <si>
    <t>4 – 5Ton</t>
  </si>
  <si>
    <t>Truck Tractor with Low bed:-</t>
  </si>
  <si>
    <t xml:space="preserve">a)  Truck Tractor </t>
  </si>
  <si>
    <r>
      <t>60T</t>
    </r>
    <r>
      <rPr>
        <sz val="8"/>
        <rFont val="Arial"/>
        <family val="2"/>
      </rPr>
      <t xml:space="preserve"> </t>
    </r>
    <r>
      <rPr>
        <sz val="5"/>
        <rFont val="Arial"/>
        <family val="2"/>
      </rPr>
      <t>(25T 5th wheel)</t>
    </r>
  </si>
  <si>
    <t>12x20</t>
  </si>
  <si>
    <t xml:space="preserve">b)   Low bed Trailer </t>
  </si>
  <si>
    <t xml:space="preserve">60 ton, 3 axle </t>
  </si>
  <si>
    <t>Drill, self prop., crawler type</t>
  </si>
  <si>
    <t>Drill, Rock, Hand Held</t>
  </si>
  <si>
    <t xml:space="preserve">Excavator, wheel Type </t>
  </si>
  <si>
    <t>1.0 – 1.5M3</t>
  </si>
  <si>
    <t>15.5x25</t>
  </si>
  <si>
    <t xml:space="preserve">Excavator, Crawler Type </t>
  </si>
  <si>
    <t>Motor Grader</t>
  </si>
  <si>
    <t>145 – 160 HP</t>
  </si>
  <si>
    <t>13x24, 14x24</t>
  </si>
  <si>
    <t xml:space="preserve">Loader, Crawler </t>
  </si>
  <si>
    <t>2.0 – 2.5M3</t>
  </si>
  <si>
    <t xml:space="preserve">Loader, Wheel </t>
  </si>
  <si>
    <t>23.5x25</t>
  </si>
  <si>
    <t>Roller, Vibrator, 2 drums</t>
  </si>
  <si>
    <t>6 – 8ton</t>
  </si>
  <si>
    <t>8 – 10ton</t>
  </si>
  <si>
    <t>10 –16 ton</t>
  </si>
  <si>
    <t>Roller, sheep Foot</t>
  </si>
  <si>
    <t>14 - 17</t>
  </si>
  <si>
    <t xml:space="preserve">Roller Pneumatic </t>
  </si>
  <si>
    <r>
      <t>Concrete Mixer,</t>
    </r>
    <r>
      <rPr>
        <sz val="6"/>
        <rFont val="Arial"/>
        <family val="2"/>
      </rPr>
      <t xml:space="preserve"> Truck mounted</t>
    </r>
  </si>
  <si>
    <t>5 – 6 M3</t>
  </si>
  <si>
    <t xml:space="preserve">Concrete Batching Plant </t>
  </si>
  <si>
    <t>15 M3-30M3</t>
  </si>
  <si>
    <t>About 80M3</t>
  </si>
  <si>
    <t>Bare Copper Wire 1x50mm2</t>
  </si>
  <si>
    <t>Bare Copper Wire 1x70mm2</t>
  </si>
  <si>
    <t>Bare Copper Wire 1x95mm2</t>
  </si>
  <si>
    <t>PVC LP* Dia. 50mm.</t>
  </si>
  <si>
    <t>Diameter 32mm</t>
  </si>
  <si>
    <t>CONTACfOR 2POLE 20A 2NfO</t>
  </si>
  <si>
    <t xml:space="preserve">            "           4      "    20A 4NfO</t>
  </si>
  <si>
    <t>Bare Copper Wire 1x120mm2</t>
  </si>
  <si>
    <t>Bare Copper Wire 1x150mm2</t>
  </si>
  <si>
    <t>Copper Tape</t>
  </si>
  <si>
    <r>
      <t>Bare Copper Tape 25x3mm</t>
    </r>
    <r>
      <rPr>
        <vertAlign val="superscript"/>
        <sz val="10"/>
        <rFont val="Arial"/>
        <family val="2"/>
      </rPr>
      <t>2</t>
    </r>
  </si>
  <si>
    <r>
      <t>Insulated Copper Tape 25x3mm</t>
    </r>
    <r>
      <rPr>
        <vertAlign val="superscript"/>
        <sz val="10"/>
        <rFont val="Arial"/>
        <family val="2"/>
      </rPr>
      <t>2</t>
    </r>
  </si>
  <si>
    <t>Power Cable</t>
  </si>
  <si>
    <r>
      <t>2x1.5mm</t>
    </r>
    <r>
      <rPr>
        <vertAlign val="superscript"/>
        <sz val="10"/>
        <rFont val="Arial"/>
        <family val="2"/>
      </rPr>
      <t>2</t>
    </r>
    <r>
      <rPr>
        <sz val="10"/>
        <rFont val="Arial"/>
        <family val="2"/>
      </rPr>
      <t xml:space="preserve"> (70x100) BLACK H05VV-F</t>
    </r>
  </si>
  <si>
    <r>
      <t>2x1.5mm</t>
    </r>
    <r>
      <rPr>
        <vertAlign val="superscript"/>
        <sz val="10"/>
        <rFont val="Arial"/>
        <family val="2"/>
      </rPr>
      <t>2</t>
    </r>
    <r>
      <rPr>
        <sz val="10"/>
        <rFont val="Arial"/>
        <family val="2"/>
      </rPr>
      <t xml:space="preserve"> (1x2000) BLACK H05VV-F</t>
    </r>
  </si>
  <si>
    <r>
      <t>2x2.5mm</t>
    </r>
    <r>
      <rPr>
        <vertAlign val="superscript"/>
        <sz val="10"/>
        <rFont val="Arial"/>
        <family val="2"/>
      </rPr>
      <t>2</t>
    </r>
    <r>
      <rPr>
        <sz val="10"/>
        <rFont val="Arial"/>
        <family val="2"/>
      </rPr>
      <t xml:space="preserve"> (2x1500) BLACK H05VV-F</t>
    </r>
  </si>
  <si>
    <r>
      <t>2x2.5mm</t>
    </r>
    <r>
      <rPr>
        <vertAlign val="superscript"/>
        <sz val="10"/>
        <rFont val="Arial"/>
        <family val="2"/>
      </rPr>
      <t>2</t>
    </r>
    <r>
      <rPr>
        <sz val="10"/>
        <rFont val="Arial"/>
        <family val="2"/>
      </rPr>
      <t xml:space="preserve"> (100x100) BLACK H05VV-F</t>
    </r>
  </si>
  <si>
    <r>
      <t>2x4mm</t>
    </r>
    <r>
      <rPr>
        <vertAlign val="superscript"/>
        <sz val="10"/>
        <rFont val="Arial"/>
        <family val="2"/>
      </rPr>
      <t>2</t>
    </r>
    <r>
      <rPr>
        <sz val="10"/>
        <rFont val="Arial"/>
        <family val="2"/>
      </rPr>
      <t xml:space="preserve"> (30x100) BLACK H05VV-F</t>
    </r>
  </si>
  <si>
    <r>
      <t>2x6mm</t>
    </r>
    <r>
      <rPr>
        <vertAlign val="superscript"/>
        <sz val="10"/>
        <rFont val="Arial"/>
        <family val="2"/>
      </rPr>
      <t>2</t>
    </r>
    <r>
      <rPr>
        <sz val="10"/>
        <rFont val="Arial"/>
        <family val="2"/>
      </rPr>
      <t xml:space="preserve"> </t>
    </r>
  </si>
  <si>
    <r>
      <t>3x1.5mm</t>
    </r>
    <r>
      <rPr>
        <vertAlign val="superscript"/>
        <sz val="10"/>
        <rFont val="Arial"/>
        <family val="2"/>
      </rPr>
      <t>2</t>
    </r>
    <r>
      <rPr>
        <sz val="10"/>
        <rFont val="Arial"/>
        <family val="2"/>
      </rPr>
      <t xml:space="preserve"> (60x100) BLACK H05VV-F</t>
    </r>
  </si>
  <si>
    <r>
      <t>3x1.5mm</t>
    </r>
    <r>
      <rPr>
        <vertAlign val="superscript"/>
        <sz val="10"/>
        <rFont val="Arial"/>
        <family val="2"/>
      </rPr>
      <t>2</t>
    </r>
    <r>
      <rPr>
        <sz val="10"/>
        <rFont val="Arial"/>
        <family val="2"/>
      </rPr>
      <t xml:space="preserve"> (1x2000) BLACK H05VV-F</t>
    </r>
  </si>
  <si>
    <t xml:space="preserve">gram </t>
  </si>
  <si>
    <t>Diameter 50mm</t>
  </si>
  <si>
    <t>PVC PIPE</t>
  </si>
  <si>
    <t>Adhesive</t>
  </si>
  <si>
    <t xml:space="preserve">Gate valves </t>
  </si>
  <si>
    <t>Diameter 15mm</t>
  </si>
  <si>
    <t>Valve</t>
  </si>
  <si>
    <t>Diameter 20mm</t>
  </si>
  <si>
    <t>Diameter 25mm</t>
  </si>
  <si>
    <t>Hand Wash</t>
  </si>
  <si>
    <t>Basin with all</t>
  </si>
  <si>
    <t>Hand</t>
  </si>
  <si>
    <t>accessaries</t>
  </si>
  <si>
    <t>wash</t>
  </si>
  <si>
    <t>WC/low flush</t>
  </si>
  <si>
    <t>wc</t>
  </si>
  <si>
    <t>with all access.</t>
  </si>
  <si>
    <t>Urinal with all</t>
  </si>
  <si>
    <t>urinal</t>
  </si>
  <si>
    <t>Bath tub with</t>
  </si>
  <si>
    <t>Buth tub</t>
  </si>
  <si>
    <t>all accessaries</t>
  </si>
  <si>
    <t>Heater</t>
  </si>
  <si>
    <t>Bolt</t>
  </si>
  <si>
    <t xml:space="preserve">   </t>
  </si>
  <si>
    <t xml:space="preserve">           </t>
  </si>
  <si>
    <t>plasterer</t>
  </si>
  <si>
    <t>D.laboure</t>
  </si>
  <si>
    <t>Chister-1</t>
  </si>
  <si>
    <t>plasterer-</t>
  </si>
  <si>
    <t>D. laaboure</t>
  </si>
  <si>
    <r>
      <t xml:space="preserve"> "    "     "     160N</t>
    </r>
    <r>
      <rPr>
        <sz val="10"/>
        <rFont val="Times New Roman"/>
        <family val="1"/>
      </rPr>
      <t xml:space="preserve"> 3PH SIDE HANDL</t>
    </r>
  </si>
  <si>
    <t>1 226.00</t>
  </si>
  <si>
    <t xml:space="preserve">      "                "                   "            160N4PH FRONT HANDL</t>
  </si>
  <si>
    <r>
      <t>MCB 3X50A</t>
    </r>
    <r>
      <rPr>
        <sz val="11"/>
        <rFont val="Times New Roman"/>
        <family val="1"/>
      </rPr>
      <t xml:space="preserve"> lYPE</t>
    </r>
    <r>
      <rPr>
        <sz val="11"/>
        <rFont val="Arial"/>
        <family val="2"/>
      </rPr>
      <t xml:space="preserve"> C BREACKING CAPAOlY. 10KA</t>
    </r>
  </si>
  <si>
    <r>
      <t>MCB 3X63A</t>
    </r>
    <r>
      <rPr>
        <sz val="11"/>
        <rFont val="Times New Roman"/>
        <family val="1"/>
      </rPr>
      <t xml:space="preserve"> lYPE</t>
    </r>
    <r>
      <rPr>
        <sz val="11"/>
        <rFont val="Arial"/>
        <family val="2"/>
      </rPr>
      <t xml:space="preserve"> C BREACKING CAPACnY 10KA</t>
    </r>
  </si>
  <si>
    <t>MCB 3X80A</t>
  </si>
  <si>
    <t>MCB3Xl00A 25KA</t>
  </si>
  <si>
    <t>MCB 3X125A 12.5KA</t>
  </si>
  <si>
    <t>MCB 2X1A 10KA 25KA</t>
  </si>
  <si>
    <t>MCB 2X2A 10KA 25KA</t>
  </si>
  <si>
    <t>MCB 4X80A 10KA</t>
  </si>
  <si>
    <t>MCB 4Xl00A 10KA</t>
  </si>
  <si>
    <t>MCB 4X125A 10KA</t>
  </si>
  <si>
    <t>MCB lX6A C/25KA</t>
  </si>
  <si>
    <t>Painting</t>
  </si>
  <si>
    <t xml:space="preserve">     Dia. 15 mm                                                   </t>
  </si>
  <si>
    <t xml:space="preserve">     Dia.  20 mm                                                    </t>
  </si>
  <si>
    <t xml:space="preserve">     Dia.  25 mm                                                   </t>
  </si>
  <si>
    <t xml:space="preserve">     Dia.  65 mm                                                   </t>
  </si>
  <si>
    <t>10.2.2</t>
  </si>
  <si>
    <t xml:space="preserve"> SITE SANITERY INSTALLATION</t>
  </si>
  <si>
    <t>Pumps and Accessories</t>
  </si>
  <si>
    <t>6.1.1</t>
  </si>
  <si>
    <t>6.1.2</t>
  </si>
  <si>
    <t>6.1.3</t>
  </si>
  <si>
    <t>6.1.4</t>
  </si>
  <si>
    <t>SITE ELECTRICAL INSTALLATION</t>
  </si>
  <si>
    <t>SITE SANITARY INSTALLATION</t>
  </si>
  <si>
    <t xml:space="preserve">CARPENTER I  </t>
  </si>
  <si>
    <t>MASON II</t>
  </si>
  <si>
    <t>MASON I</t>
  </si>
  <si>
    <t xml:space="preserve">CARPENTER  II </t>
  </si>
  <si>
    <t>7 pcs  Auto /off/ manual (3-fixed positions) control switch</t>
  </si>
  <si>
    <t>6 pcs  MCB   of  10A, 1ph, Icu=6KA.</t>
  </si>
  <si>
    <t>1 pc     contactor K1 with 2N/O contacts of 20 A/2P, coil 220Vac</t>
  </si>
  <si>
    <t>Steel reinforcement</t>
  </si>
  <si>
    <t>BAR BENDER II</t>
  </si>
  <si>
    <t>BAR BENDER I</t>
  </si>
  <si>
    <t>Bar bend II</t>
  </si>
  <si>
    <t>Bar bend I</t>
  </si>
  <si>
    <t>BAR CUTTING MACHINE OPER.</t>
  </si>
  <si>
    <t xml:space="preserve">16A, 1ph, schuko type in rigid thermoplastic conduit of diameter </t>
  </si>
  <si>
    <r>
      <t>16mm fed by PVC conductor of 3x2.5mm</t>
    </r>
    <r>
      <rPr>
        <vertAlign val="superscript"/>
        <sz val="10"/>
        <rFont val="Lucida Sans"/>
        <family val="2"/>
      </rPr>
      <t>2</t>
    </r>
    <r>
      <rPr>
        <sz val="10"/>
        <rFont val="Lucida Sans"/>
        <family val="2"/>
      </rPr>
      <t>.</t>
    </r>
  </si>
  <si>
    <t xml:space="preserve">Socket outlet Legrand mosaic range flush mounted, 2-gang (twin), </t>
  </si>
  <si>
    <t xml:space="preserve">16A, 1ph, schuko type for floor boxes in rigid thermoplastic </t>
  </si>
  <si>
    <t>Supply and fix G-28 flat metal sheetcoping (dev l=600mm).Price shall include fixing accessories.</t>
  </si>
  <si>
    <t>Supply and fix G-28 flat metal sheet flashing (dev l=500mm).Price shall include fixing accessories.</t>
  </si>
  <si>
    <t>Ditto but coping (dev l=310mm)</t>
  </si>
  <si>
    <t>Ditto but coping (dev l=600mm)</t>
  </si>
  <si>
    <t xml:space="preserve"> WD10 size1500 x 3100mm</t>
  </si>
  <si>
    <t xml:space="preserve"> WD11 size 4600 x 3100mm</t>
  </si>
  <si>
    <t xml:space="preserve"> WD12 size 3950 x 3100mm</t>
  </si>
  <si>
    <t xml:space="preserve">     "                "                       "         1X60W 215Xl15MM</t>
  </si>
  <si>
    <t xml:space="preserve">     "                "                       "         1X75W 225X225MM</t>
  </si>
  <si>
    <t xml:space="preserve">     "                "                      "         1X60W 215X115MM</t>
  </si>
  <si>
    <r>
      <t>CHANGEABLE</t>
    </r>
    <r>
      <rPr>
        <sz val="10"/>
        <rFont val="Times New Roman"/>
        <family val="1"/>
      </rPr>
      <t xml:space="preserve"> INTERNAL</t>
    </r>
    <r>
      <rPr>
        <sz val="11"/>
        <rFont val="Arial"/>
        <family val="2"/>
      </rPr>
      <t xml:space="preserve"> ANGLE FOR 130X50MM</t>
    </r>
  </si>
  <si>
    <t>CHANGEABLE EXTERNAL ANGLE FOR 130X50MM</t>
  </si>
  <si>
    <t>Supply and fix marble 300x300mm floor with cement sand mortar (1:3).Price shall include polishing chanffering,grouting with matching colour and other necessary works.</t>
  </si>
  <si>
    <t>Apply three coats of smooth plaster in cement mortar (1:3)up to fine finish to all Internal  and external walls  surfaces .</t>
  </si>
  <si>
    <t xml:space="preserve">50 mm thick smooth cement screed at bottom slab  </t>
  </si>
  <si>
    <t xml:space="preserve">Apply two coats of plaster in cement mortar (1.3) to external wall to receive klinker tiles. </t>
  </si>
  <si>
    <t xml:space="preserve">Apply two coats of plaster in cement mortar (1.3) to external  wall to receive mineral plaster quartz,klinker  tiles. </t>
  </si>
  <si>
    <t xml:space="preserve">stainless steel cover for concrete floor with all necessary </t>
  </si>
  <si>
    <t>accessories.</t>
  </si>
  <si>
    <t xml:space="preserve">Telephone points only heavy duty thermoplastic conduit of </t>
  </si>
  <si>
    <t>Ditto but for SDB-4-3F-9 and consisting of:-</t>
  </si>
  <si>
    <t>"                      "                            " lX60W D-180MM</t>
  </si>
  <si>
    <t>"                     "                            " lX60W D-190X190MM</t>
  </si>
  <si>
    <r>
      <t>"                 "                     " lX75W</t>
    </r>
    <r>
      <rPr>
        <sz val="11"/>
        <rFont val="Arial Narrow"/>
        <family val="2"/>
      </rPr>
      <t xml:space="preserve"> D-240X240MM</t>
    </r>
  </si>
  <si>
    <t>"                      "                            "   lX60W D-220X120MM</t>
  </si>
  <si>
    <t>"                     "                            "     2X40W D-315X85X90MM</t>
  </si>
  <si>
    <t>"                    "                             "    1X100W D-280X120MM</t>
  </si>
  <si>
    <t>"                   "                             "     lX100W D-280X280X120MM</t>
  </si>
  <si>
    <t>"                   "                             "      lX75W</t>
  </si>
  <si>
    <t>"                  "                              "     lX60W D-280X280X120MM</t>
  </si>
  <si>
    <t>CONTACT BLQCK WITH lWO ELEMENT NO/NC</t>
  </si>
  <si>
    <t>SIGNS CONTACT BLOCKS NO+NC</t>
  </si>
  <si>
    <t>INDICATOR LAMPBA 95 2.6W HillERS</t>
  </si>
  <si>
    <t>INDICATOR UGHT</t>
  </si>
  <si>
    <t>EMERGENCY STOP HEAD PUSH BUlTON RED MUSHROOM</t>
  </si>
  <si>
    <t>EMEWRGANCY STOP LETTERS</t>
  </si>
  <si>
    <t>NION BA95 LAMP 220V</t>
  </si>
  <si>
    <t>MCCB 3X16A 16KA</t>
  </si>
  <si>
    <t>MCCB 3X25A 16KA</t>
  </si>
  <si>
    <t>MCCB 3X40A 16KA</t>
  </si>
  <si>
    <t>MCCB 3X63A 16KA</t>
  </si>
  <si>
    <t>MCB lX63A C/12.5KA</t>
  </si>
  <si>
    <t>MCB 3Xl0 C/25KA</t>
  </si>
  <si>
    <t>MCB 3X16A C/25KA</t>
  </si>
  <si>
    <t>MCB 3X20A C/25KA</t>
  </si>
  <si>
    <t>MCB 3X25A C/20KA</t>
  </si>
  <si>
    <t>MCB 3X32A C/25KV</t>
  </si>
  <si>
    <t>MCB 3X40A C/25KV</t>
  </si>
  <si>
    <t>MCB 3X50A C/25KV</t>
  </si>
  <si>
    <t>MCB 3X63A C/25KA</t>
  </si>
  <si>
    <t>RESIDUAL CURRENT DEVICES lYPE AC 2X25A 300MA</t>
  </si>
  <si>
    <t>RESIDUAL CURRENT DEVICES lYPE AC 4X25A 300 MA</t>
  </si>
  <si>
    <t>DLP TRUNKING 50X80MM</t>
  </si>
  <si>
    <t>DLP TRUNKING 50Xl05</t>
  </si>
  <si>
    <t>COVER WIDTH 65MM</t>
  </si>
  <si>
    <t>COVER WIDTH 85</t>
  </si>
  <si>
    <t>SEPARATION PARllON</t>
  </si>
  <si>
    <t>INTERNAL ANGLE</t>
  </si>
  <si>
    <t>EXTERNAL ANGLE</t>
  </si>
  <si>
    <t>. 10652</t>
  </si>
  <si>
    <t>FLAT ANGLE</t>
  </si>
  <si>
    <t>BASE JOINT</t>
  </si>
  <si>
    <t>END CAP</t>
  </si>
  <si>
    <t>JUNcnON (n</t>
  </si>
  <si>
    <t>COVER JOINT</t>
  </si>
  <si>
    <t>2MODULS CUP-ON-SUPPORT FRAM</t>
  </si>
  <si>
    <t>2 MODULS CUP - ON - SUPPORT FRAM</t>
  </si>
  <si>
    <t>4 MODULS CUP - ON - SUPPORT FRAM</t>
  </si>
  <si>
    <t>CARTIRAGE FUSE 4A</t>
  </si>
  <si>
    <t>CARTIRAGE FUSE 6A</t>
  </si>
  <si>
    <t>CARTIRAGE FUSE 10A</t>
  </si>
  <si>
    <t>F.M BOARD FOR 12ACB/1ROW</t>
  </si>
  <si>
    <t>F.M     "          "    24ACB/2 ROW</t>
  </si>
  <si>
    <t>S.M PLEXO BOX IP-55 FOR 12 ACB</t>
  </si>
  <si>
    <t>STRIP FOR PANEL (FOR FINISHING)</t>
  </si>
  <si>
    <t>RAIL DIT lROW 24 MODULES FOR ARMURAL CABINET</t>
  </si>
  <si>
    <t>RAIL KIT 2 ROW 24     "             "          "              "</t>
  </si>
  <si>
    <t>REVERSIBLE DOOR FOR CABINET 05763</t>
  </si>
  <si>
    <t>GLAND PLATE FOR CABINET Cf-230</t>
  </si>
  <si>
    <t>FOUSE CARRIER</t>
  </si>
  <si>
    <t>FUSE CARRIER</t>
  </si>
  <si>
    <t>FRONT PLATE lX24 MCB FOR Cf-230 BOARD</t>
  </si>
  <si>
    <t>PERFORATED REDUCED MOUNTING PLATE ADGUSTABLE FOR Cf-230</t>
  </si>
  <si>
    <t>BOARD</t>
  </si>
  <si>
    <t>MOUNTING PLATE FOR Cf-230 CABINET</t>
  </si>
  <si>
    <t>CHASIS FOR 600X400 CABINET</t>
  </si>
  <si>
    <t>4MOUNTING LUGS (WALL MOUNTING)</t>
  </si>
  <si>
    <t>INSULATING SUPPORT (TERMINAL SHIELD)</t>
  </si>
  <si>
    <t>Equipment Rental Rate</t>
  </si>
  <si>
    <r>
      <t xml:space="preserve">PRICE </t>
    </r>
    <r>
      <rPr>
        <b/>
        <sz val="26"/>
        <rFont val="Times New Roman"/>
        <family val="1"/>
      </rPr>
      <t>LIST (DAMA TRADING)</t>
    </r>
  </si>
  <si>
    <t>Ditto but for SDB-4-3F-10 and consisting of:-</t>
  </si>
  <si>
    <t>Ditto but for SDB-4-5F-1 and consisting of:-</t>
  </si>
  <si>
    <t>Ditto but for SDB-4-5F-2 and consisting of:-</t>
  </si>
  <si>
    <t>Ditto but for SDB-4-5F-3 and consisting of:-</t>
  </si>
  <si>
    <t>Ditto but for SDB-4-5F-4 and consisting of:-</t>
  </si>
  <si>
    <t>Ditto but for SDB-4-5F-5 and consisting of:-</t>
  </si>
  <si>
    <t>Light points in heavy duty rigid thermopastic conduit of</t>
  </si>
  <si>
    <r>
      <t>16mm fed by PVC conductor of 2x2.5mm</t>
    </r>
    <r>
      <rPr>
        <vertAlign val="superscript"/>
        <sz val="10"/>
        <rFont val="Arial"/>
        <family val="2"/>
      </rPr>
      <t>2</t>
    </r>
    <r>
      <rPr>
        <sz val="10"/>
        <rFont val="Arial"/>
        <family val="2"/>
      </rPr>
      <t>.</t>
    </r>
  </si>
  <si>
    <t xml:space="preserve">GEWISS, recessed, eco range or equivalent </t>
  </si>
  <si>
    <t>Steel reinforcement according to structural drawing. Price includes cutting, bending, placing in position and tying wires.</t>
  </si>
  <si>
    <t>2.5</t>
  </si>
  <si>
    <t>Diam. 14mm deformed bar</t>
  </si>
  <si>
    <t>2.6</t>
  </si>
  <si>
    <t>Diam 8mm deformed bar</t>
  </si>
  <si>
    <t xml:space="preserve"> MASONRY WORK</t>
  </si>
  <si>
    <t>3</t>
  </si>
  <si>
    <r>
      <t>3x10mm</t>
    </r>
    <r>
      <rPr>
        <vertAlign val="superscript"/>
        <sz val="10"/>
        <rFont val="Arial"/>
        <family val="2"/>
      </rPr>
      <t>2</t>
    </r>
    <r>
      <rPr>
        <sz val="10"/>
        <rFont val="Arial"/>
        <family val="2"/>
      </rPr>
      <t xml:space="preserve"> from Kwh-8 to SDB-1-3F-1</t>
    </r>
  </si>
  <si>
    <t>9.8.09</t>
  </si>
  <si>
    <r>
      <t>3x16mm</t>
    </r>
    <r>
      <rPr>
        <vertAlign val="superscript"/>
        <sz val="10"/>
        <rFont val="Arial"/>
        <family val="2"/>
      </rPr>
      <t>2</t>
    </r>
    <r>
      <rPr>
        <sz val="10"/>
        <rFont val="Arial"/>
        <family val="2"/>
      </rPr>
      <t xml:space="preserve"> from Kwh-9 to SDB-1-3F-2</t>
    </r>
  </si>
  <si>
    <t>9.8.10</t>
  </si>
  <si>
    <r>
      <t>3x16mm</t>
    </r>
    <r>
      <rPr>
        <vertAlign val="superscript"/>
        <sz val="10"/>
        <rFont val="Arial"/>
        <family val="2"/>
      </rPr>
      <t>2</t>
    </r>
    <r>
      <rPr>
        <sz val="10"/>
        <rFont val="Arial"/>
        <family val="2"/>
      </rPr>
      <t xml:space="preserve"> from Kwh-10 to SDB-1-3F-3</t>
    </r>
  </si>
  <si>
    <t>9.8.11</t>
  </si>
  <si>
    <r>
      <t>3x10mm</t>
    </r>
    <r>
      <rPr>
        <vertAlign val="superscript"/>
        <sz val="10"/>
        <rFont val="Arial"/>
        <family val="2"/>
      </rPr>
      <t>2</t>
    </r>
    <r>
      <rPr>
        <sz val="10"/>
        <rFont val="Arial"/>
        <family val="2"/>
      </rPr>
      <t xml:space="preserve"> from Kwh-11 to SDB-1-4F-1</t>
    </r>
  </si>
  <si>
    <t>9.8.12</t>
  </si>
  <si>
    <r>
      <t>3x16mm</t>
    </r>
    <r>
      <rPr>
        <vertAlign val="superscript"/>
        <sz val="10"/>
        <rFont val="Arial"/>
        <family val="2"/>
      </rPr>
      <t>2</t>
    </r>
    <r>
      <rPr>
        <sz val="10"/>
        <rFont val="Arial"/>
        <family val="2"/>
      </rPr>
      <t xml:space="preserve"> from Kwh-12 to SDB-1-4F-2</t>
    </r>
  </si>
  <si>
    <t>9.8.13</t>
  </si>
  <si>
    <r>
      <t>3x16mm</t>
    </r>
    <r>
      <rPr>
        <vertAlign val="superscript"/>
        <sz val="10"/>
        <rFont val="Arial"/>
        <family val="2"/>
      </rPr>
      <t>2</t>
    </r>
    <r>
      <rPr>
        <sz val="10"/>
        <rFont val="Arial"/>
        <family val="2"/>
      </rPr>
      <t xml:space="preserve"> from Kwh-13 to SDB-1-4F-3</t>
    </r>
  </si>
  <si>
    <t>9.8.14</t>
  </si>
  <si>
    <r>
      <t>3x10mm</t>
    </r>
    <r>
      <rPr>
        <vertAlign val="superscript"/>
        <sz val="10"/>
        <rFont val="Arial"/>
        <family val="2"/>
      </rPr>
      <t>2</t>
    </r>
    <r>
      <rPr>
        <sz val="10"/>
        <rFont val="Arial"/>
        <family val="2"/>
      </rPr>
      <t xml:space="preserve"> from Kwh-14 to SDB-1-5F-1</t>
    </r>
  </si>
  <si>
    <t>9.8.15</t>
  </si>
  <si>
    <r>
      <t>3x16mm</t>
    </r>
    <r>
      <rPr>
        <vertAlign val="superscript"/>
        <sz val="10"/>
        <rFont val="Arial"/>
        <family val="2"/>
      </rPr>
      <t>2</t>
    </r>
    <r>
      <rPr>
        <sz val="10"/>
        <rFont val="Arial"/>
        <family val="2"/>
      </rPr>
      <t xml:space="preserve"> from Kwh-15 to SDB-1-5F-2</t>
    </r>
  </si>
  <si>
    <t>9.8.16</t>
  </si>
  <si>
    <r>
      <t>3x16mm</t>
    </r>
    <r>
      <rPr>
        <vertAlign val="superscript"/>
        <sz val="10"/>
        <rFont val="Arial"/>
        <family val="2"/>
      </rPr>
      <t>2</t>
    </r>
    <r>
      <rPr>
        <sz val="10"/>
        <rFont val="Arial"/>
        <family val="2"/>
      </rPr>
      <t xml:space="preserve"> from Kwh-16 to SDB-1-5F-3</t>
    </r>
  </si>
  <si>
    <t>9.8.17</t>
  </si>
  <si>
    <r>
      <t>3x10mm</t>
    </r>
    <r>
      <rPr>
        <vertAlign val="superscript"/>
        <sz val="10"/>
        <rFont val="Arial"/>
        <family val="2"/>
      </rPr>
      <t>2</t>
    </r>
    <r>
      <rPr>
        <sz val="10"/>
        <rFont val="Arial"/>
        <family val="2"/>
      </rPr>
      <t xml:space="preserve"> from Kwh-17 to SDB-1-6F-1</t>
    </r>
  </si>
  <si>
    <t>9.8.18</t>
  </si>
  <si>
    <r>
      <t>3x16mm</t>
    </r>
    <r>
      <rPr>
        <vertAlign val="superscript"/>
        <sz val="10"/>
        <rFont val="Arial"/>
        <family val="2"/>
      </rPr>
      <t>2</t>
    </r>
    <r>
      <rPr>
        <sz val="10"/>
        <rFont val="Arial"/>
        <family val="2"/>
      </rPr>
      <t xml:space="preserve"> from Kwh-18 to SDB-1-6F-2</t>
    </r>
  </si>
  <si>
    <t>9.8.19</t>
  </si>
  <si>
    <r>
      <t>3x16mm</t>
    </r>
    <r>
      <rPr>
        <vertAlign val="superscript"/>
        <sz val="10"/>
        <rFont val="Arial"/>
        <family val="2"/>
      </rPr>
      <t>2</t>
    </r>
    <r>
      <rPr>
        <sz val="10"/>
        <rFont val="Arial"/>
        <family val="2"/>
      </rPr>
      <t xml:space="preserve"> from Kwh-19 to SDB-1-6F-3</t>
    </r>
  </si>
  <si>
    <t>9.9 CABLE WAYS AND MANHOLES</t>
  </si>
  <si>
    <r>
      <t>Bare copper 1x50mm</t>
    </r>
    <r>
      <rPr>
        <vertAlign val="superscript"/>
        <sz val="10"/>
        <rFont val="Arial"/>
        <family val="2"/>
      </rPr>
      <t>2</t>
    </r>
    <r>
      <rPr>
        <sz val="10"/>
        <rFont val="Arial"/>
        <family val="2"/>
      </rPr>
      <t xml:space="preserve"> for earthing.</t>
    </r>
  </si>
  <si>
    <t>9.10.03</t>
  </si>
  <si>
    <t>Rigid PVC pipes of diameter 110mm for EEPCO feeder cable.</t>
  </si>
  <si>
    <t>No.</t>
  </si>
  <si>
    <t>5   pcs MCB of 10A, 1ph, Icu=6KA.</t>
  </si>
  <si>
    <t>7   pcs MCB of 16A, 1ph, Icu=6KA.</t>
  </si>
  <si>
    <t>Clearing of site to a depth not exceeding 200mm.</t>
  </si>
  <si>
    <r>
      <t>m</t>
    </r>
    <r>
      <rPr>
        <vertAlign val="superscript"/>
        <sz val="10"/>
        <rFont val="Arial"/>
        <family val="2"/>
      </rPr>
      <t>2</t>
    </r>
  </si>
  <si>
    <t>Bulk excavation in ordinary soil to a depth of 1000mm from reduced level.</t>
  </si>
  <si>
    <r>
      <t>m</t>
    </r>
    <r>
      <rPr>
        <vertAlign val="superscript"/>
        <sz val="10"/>
        <rFont val="Arial"/>
        <family val="2"/>
      </rPr>
      <t>3</t>
    </r>
  </si>
  <si>
    <t>Pit excavation in ordinary soil for footings to a depth not exceeding 1500 mm from bulk excavation level.</t>
  </si>
  <si>
    <t>Back fill  around footings and foundation columns with selected borrow material from outside, well rammed in layers of 200 mm thick and compacted at dry density and optimum moisture content.</t>
  </si>
  <si>
    <t>Ditto but under hard core</t>
  </si>
  <si>
    <t>Cart away  excavated material.</t>
  </si>
  <si>
    <t>250mm thick basaltic or equivalent stone hard core well rolled,consolidated and blinded with crushed stone.</t>
  </si>
  <si>
    <t>Total carried to summary Birr</t>
  </si>
  <si>
    <t>2.0</t>
  </si>
  <si>
    <t>50 mm thick lean concrete in class C-5</t>
  </si>
  <si>
    <t>Under  footings.</t>
  </si>
  <si>
    <t>In floor and roof beams.</t>
  </si>
  <si>
    <t>In  ribbed slab</t>
  </si>
  <si>
    <t>In  stair case roof slab.</t>
  </si>
  <si>
    <t>In 150mm thick stair case roof slab.</t>
  </si>
  <si>
    <t xml:space="preserve">Diam.28mm.deformed bar.  </t>
  </si>
  <si>
    <t xml:space="preserve">  "      24mm.      "         "</t>
  </si>
  <si>
    <t xml:space="preserve"> CONCRETE WORK</t>
  </si>
  <si>
    <t xml:space="preserve"> SUPER STRUCTURE</t>
  </si>
  <si>
    <t>A - SUB-STRUCTURE</t>
  </si>
  <si>
    <t>Clearing of the site to remove top soil to a depth of 200mm.</t>
  </si>
  <si>
    <t>1.2</t>
  </si>
  <si>
    <t>Bulk excavation in ordinary soil to a depth not exceeding 1000mm.</t>
  </si>
  <si>
    <t>1.3</t>
  </si>
  <si>
    <t>Trench Excavation to a depth not exceeding 1000mm.</t>
  </si>
  <si>
    <t>1.4</t>
  </si>
  <si>
    <t>11x20, 12x20</t>
  </si>
  <si>
    <t>Dump Truck</t>
  </si>
  <si>
    <t>7 M3</t>
  </si>
  <si>
    <t>Dump Truck, 6x4</t>
  </si>
  <si>
    <t>9 M3</t>
  </si>
  <si>
    <t>12 M3</t>
  </si>
  <si>
    <t>Water Truck</t>
  </si>
  <si>
    <t>6000Lits.</t>
  </si>
  <si>
    <t>Water Truck, 6x4</t>
  </si>
  <si>
    <t>Fuel Truck, 6x4</t>
  </si>
  <si>
    <t>Truck Stake 6x4</t>
  </si>
  <si>
    <t>11 – 13 Ton</t>
  </si>
  <si>
    <t xml:space="preserve"> COST BREAK DOWN ANALYSIS</t>
  </si>
  <si>
    <t>Risk Margin</t>
  </si>
  <si>
    <t xml:space="preserve">Profit </t>
  </si>
  <si>
    <t>Activities</t>
  </si>
  <si>
    <t>Indirect site cost</t>
  </si>
  <si>
    <t>Project expence for</t>
  </si>
  <si>
    <t>Office, Furniture and Others</t>
  </si>
  <si>
    <t>All domestic waste, vent and storm water pipe lines shall be comply to BS45/4:1983 and DIN 19531 PVC  pipes and shall be provided with a minimum slope of 1.5%. Pipes and necessary fittings shall be standard quality and be free from damage during storage, construction and etc. Unit price shall include all the necessary assistance civil works, such as excavation cartaway, fixing or hanging to walls, beams or slabs. etc., necessary fittings such as bends, Y, T, etc. Storm water PVC pipes shall resist the external temperature and the quality shall meet the purpose.</t>
  </si>
  <si>
    <t>10.3.1</t>
  </si>
  <si>
    <t>EGA 500 0.80mm. thick 71cm wide</t>
  </si>
  <si>
    <t>EGA 500 1.00mm. thick 71cm wide</t>
  </si>
  <si>
    <t>EGA 600 0.35mm. thick 67cm wide</t>
  </si>
  <si>
    <t>EGA 600 0.40mm. thick 67cm wide</t>
  </si>
  <si>
    <t>EGA 600 0.50mm. thick 67cm wide</t>
  </si>
  <si>
    <t>EGA 600 0.60mm. thick 67cm wide</t>
  </si>
  <si>
    <t>EGA 600 0.70mm. thick 67cm wide</t>
  </si>
  <si>
    <t>EGA 600 0.80mm. thick 63cm wide</t>
  </si>
  <si>
    <t>EGA 600 1.00mm. thick 63cm wide</t>
  </si>
  <si>
    <t>EGA 700 0.35mm. thick 63cm wide</t>
  </si>
  <si>
    <t>EGA 700 0.40mm. thick 63cm wide</t>
  </si>
  <si>
    <t>EGA 700 0.50mm. thick 63cm wide</t>
  </si>
  <si>
    <t>EGA 700 0.60mm. thick 63cm wide</t>
  </si>
  <si>
    <t>EGA 700 0.70mm. thick 63cm wide</t>
  </si>
  <si>
    <t xml:space="preserve">     Dia.  110 mm</t>
  </si>
  <si>
    <t xml:space="preserve">     Dia.  125 mm</t>
  </si>
  <si>
    <t>10.3.2</t>
  </si>
  <si>
    <t>Vent caps made of PVC, complete with all accessories</t>
  </si>
  <si>
    <t xml:space="preserve">     Dia. 110  mm</t>
  </si>
  <si>
    <t xml:space="preserve">     Dia. 125  mm</t>
  </si>
  <si>
    <t>SITE WORK</t>
  </si>
  <si>
    <t>10.4.1</t>
  </si>
  <si>
    <t>Construct trapezoidal open ditch out of 350 mm thick internally plastered mortar, jointed masonry wall as will be instructed on site. Price shall include excavation, cart away and all civil assistance works and openable grill cover as shown on the detail drawing.</t>
  </si>
  <si>
    <t xml:space="preserve">   ml</t>
  </si>
  <si>
    <t>10.4.2</t>
  </si>
  <si>
    <t>Supply &amp; install G.S. water supply pipes for cold and hot water distribution in open ground to an average depth of 500mm from ground level.  Price shall  include excavation, cartaway, asphalt paper cover and 100 mm thick gravel around the pipe.  Price shall also include all necessary connecting pieces such as elbows, Tees &amp; etc. and reconstruction of asphalt layer on the excavated pipe route.</t>
  </si>
  <si>
    <t xml:space="preserve"> Dia. 50 mm</t>
  </si>
  <si>
    <t>10.4.3</t>
  </si>
  <si>
    <t>Supply and install Roto or Equivalent elevated water tank on concrete support made of Fiber Glass as shown on the Sanitary drawing and site plan. Exact location to be determined on site.</t>
  </si>
  <si>
    <t>Provide with:</t>
  </si>
  <si>
    <t>Dia. 50 mm float valve for water tank.</t>
  </si>
  <si>
    <t>Dia. 50 mm vent pipe with cap for water tank.</t>
  </si>
  <si>
    <t>Window set</t>
  </si>
  <si>
    <t>Window door</t>
  </si>
  <si>
    <t>Aluminium</t>
  </si>
  <si>
    <t>Window &amp; door</t>
  </si>
  <si>
    <t>set</t>
  </si>
  <si>
    <t>Labour</t>
  </si>
  <si>
    <t xml:space="preserve">     - manifolds (suction and delivery)</t>
  </si>
  <si>
    <t xml:space="preserve">     - Stainers</t>
  </si>
  <si>
    <t xml:space="preserve">      -Common base plate</t>
  </si>
  <si>
    <t>5.2.01</t>
  </si>
  <si>
    <t xml:space="preserve">Diesel generator set of 350KVA/250KW capacity </t>
  </si>
  <si>
    <t xml:space="preserve">at site, 380/220V, 3 phase, 50Hz, 1500 rpm, </t>
  </si>
  <si>
    <t>complete with automatic transfer switch, other</t>
  </si>
  <si>
    <t xml:space="preserve">regulating and starting accessories instruments, </t>
  </si>
  <si>
    <t>day tank reservior for one week / 8hr operation,</t>
  </si>
  <si>
    <t>fuel transfer sytem, exhaust muffler-residential,</t>
  </si>
  <si>
    <t>engine coolant heater and radiator, lead acid</t>
  </si>
  <si>
    <t>battery with charger, ready for operation.</t>
  </si>
  <si>
    <t>5.3. GROUNDING</t>
  </si>
  <si>
    <t>5.3.01</t>
  </si>
  <si>
    <t>Main earth bar, CU 100x5mm with fixing accessories</t>
  </si>
  <si>
    <t>with removable bolted link as shown on the drawing.</t>
  </si>
  <si>
    <t>5.3.02</t>
  </si>
  <si>
    <t>Copper grounding electrode of 2.4m long, diameter 19mm driven</t>
  </si>
  <si>
    <t xml:space="preserve">down to the ground in a grounding pit of 500x500x600mm </t>
  </si>
  <si>
    <t xml:space="preserve">c/w removable cast iron cover. Price to include cost of cable </t>
  </si>
  <si>
    <t>In grade beams.</t>
  </si>
  <si>
    <t>In 100mm thick ground floor slab.</t>
  </si>
  <si>
    <t>Provide, cut and fix in position sawn Zigba wood formwork:</t>
  </si>
  <si>
    <t>To  footings.</t>
  </si>
  <si>
    <t>To foundation columns.</t>
  </si>
  <si>
    <t>To grade beams.</t>
  </si>
  <si>
    <r>
      <t>16mm fed by PVC conductor of 3x2.5mm</t>
    </r>
    <r>
      <rPr>
        <vertAlign val="superscript"/>
        <sz val="10"/>
        <rFont val="Arial"/>
        <family val="2"/>
      </rPr>
      <t>2</t>
    </r>
    <r>
      <rPr>
        <sz val="10"/>
        <rFont val="Arial"/>
        <family val="2"/>
      </rPr>
      <t>.</t>
    </r>
  </si>
  <si>
    <t>9.3 SWITCHES AND PUSH BUTTON</t>
  </si>
  <si>
    <t>9.3.01</t>
  </si>
  <si>
    <t>9.3.02</t>
  </si>
  <si>
    <t>9.3.03</t>
  </si>
  <si>
    <t>9.3.04</t>
  </si>
  <si>
    <t>500W push rotary dimmers</t>
  </si>
  <si>
    <t>9.3.05</t>
  </si>
  <si>
    <t>Push button</t>
  </si>
  <si>
    <t>9.4 SOCKET OUTLETS AND POWER POINTS</t>
  </si>
  <si>
    <t>Ditto but weather proof 16A, 1ph.</t>
  </si>
  <si>
    <t>Ditto as 4.01 but for water heater 16A, 1ph with on/off switch.</t>
  </si>
  <si>
    <t xml:space="preserve">Socket outlet with integrated switch Scame or approved equal </t>
  </si>
  <si>
    <t>9.4.05</t>
  </si>
  <si>
    <t>8mm thick chip wood ceiling</t>
  </si>
  <si>
    <t>chip wood</t>
  </si>
  <si>
    <t>4x5 cm battens</t>
  </si>
  <si>
    <t>eucalyptus suspensions</t>
  </si>
  <si>
    <t>nails</t>
  </si>
  <si>
    <t>corner list</t>
  </si>
  <si>
    <t>sill</t>
  </si>
  <si>
    <t>antirust</t>
  </si>
  <si>
    <t>gallon</t>
  </si>
  <si>
    <t>fixer</t>
  </si>
  <si>
    <t>d.laborer</t>
  </si>
  <si>
    <t>down pipe</t>
  </si>
  <si>
    <t>pipe</t>
  </si>
  <si>
    <t>accessories</t>
  </si>
  <si>
    <t>dlaborer</t>
  </si>
  <si>
    <t>Two coats of</t>
  </si>
  <si>
    <t>bitumen asphalt</t>
  </si>
  <si>
    <t>water proof</t>
  </si>
  <si>
    <t>asphalt</t>
  </si>
  <si>
    <t>1st coat</t>
  </si>
  <si>
    <t>2nd coat</t>
  </si>
  <si>
    <t>heating gas</t>
  </si>
  <si>
    <t>Pigmented &amp;</t>
  </si>
  <si>
    <t>textured concrete</t>
  </si>
  <si>
    <t>tile</t>
  </si>
  <si>
    <t>Supply and fix pressed  steel  enameled  cast iron shower tray, including shower head, mixing faucet, smell trap, etc.. Complete with all the necessary accessories.</t>
  </si>
  <si>
    <t>Size:- 700mm X 700mm</t>
  </si>
  <si>
    <t>Capacity 80 Liter</t>
  </si>
  <si>
    <t>Capacity 100 Liter</t>
  </si>
  <si>
    <t>Supply and fix bath tub made of enameled cast iron white painted. Complete with mixing battery, fountain tap, overflow pipe, smell trap and with all the necessary accessories.</t>
  </si>
  <si>
    <t>Size: 1750 x 750 mm</t>
  </si>
  <si>
    <t>10.1.14</t>
  </si>
  <si>
    <t>10.1.15</t>
  </si>
  <si>
    <t xml:space="preserve">     Dia.  80 mm                                                   </t>
  </si>
  <si>
    <t xml:space="preserve">     Dia.  80 mm</t>
  </si>
  <si>
    <t xml:space="preserve">     Dia. 160  mm</t>
  </si>
  <si>
    <t xml:space="preserve"> Dia. 80 mm</t>
  </si>
  <si>
    <t>Ditto but for SDB-4-GF-7 and consisting of:-</t>
  </si>
  <si>
    <t>Ditto but for SDB-4-GF-8 and consisting of:-</t>
  </si>
  <si>
    <t>Ditto but for SDB-4-GF-9 and consisting of:-</t>
  </si>
  <si>
    <t>Ditto but for SDB-4-1F-1 and consisting of:-</t>
  </si>
  <si>
    <t>Ditto but for SDB-4-1F-2 and consisting of:-</t>
  </si>
  <si>
    <t>Ditto but for SDB-4-1F-3 and consisting of:-</t>
  </si>
  <si>
    <t>Ditto but for SDB-4-1F-4 and consisting of:-</t>
  </si>
  <si>
    <t>Ditto but for SDB-4-1F-7 and consisting of:-</t>
  </si>
  <si>
    <t>Ditto but for SDB-4-1F-8 and consisting of:-</t>
  </si>
  <si>
    <t>Ditto but for SDB-4-1F-9 and consisting of:-</t>
  </si>
  <si>
    <t>c) 3cm. Thick Granite) polished</t>
  </si>
  <si>
    <t>b) 2cm. Thick (Granite) polished</t>
  </si>
  <si>
    <r>
      <t>MCCB</t>
    </r>
    <r>
      <rPr>
        <i/>
        <sz val="12"/>
        <rFont val="Arial"/>
        <family val="2"/>
      </rPr>
      <t xml:space="preserve"> 4X160A</t>
    </r>
    <r>
      <rPr>
        <sz val="12"/>
        <rFont val="Arial"/>
        <family val="2"/>
      </rPr>
      <t xml:space="preserve"> D160</t>
    </r>
  </si>
  <si>
    <t>DISTRIBUTION FOR MCCB 165X200 X430</t>
  </si>
  <si>
    <r>
      <t>SET OF BRACKET FOR FITTING PLATE 01704 AND</t>
    </r>
    <r>
      <rPr>
        <i/>
        <sz val="12"/>
        <rFont val="Arial"/>
        <family val="2"/>
      </rPr>
      <t xml:space="preserve"> 01610</t>
    </r>
  </si>
  <si>
    <t>MCB 3Xl0A 6KA</t>
  </si>
  <si>
    <t>MCB 3X20A 6KA</t>
  </si>
  <si>
    <t>MCB 3X38A 6KA</t>
  </si>
  <si>
    <t>MCB 3X50A 6KA</t>
  </si>
  <si>
    <r>
      <t>FRAME GAUON FOR</t>
    </r>
    <r>
      <rPr>
        <sz val="10"/>
        <rFont val="Times New Roman"/>
        <family val="1"/>
      </rPr>
      <t xml:space="preserve"> VERTICAL</t>
    </r>
    <r>
      <rPr>
        <sz val="11"/>
        <rFont val="Arial"/>
        <family val="2"/>
      </rPr>
      <t xml:space="preserve"> ON 16MM</t>
    </r>
  </si>
  <si>
    <t xml:space="preserve">      "           "          "        "           "   12.5MM</t>
  </si>
  <si>
    <t xml:space="preserve">      "           "          "        "           "  16MM+20MM</t>
  </si>
  <si>
    <r>
      <t>DOUBLE FRAME GAUON FOR ALONGSIDE</t>
    </r>
    <r>
      <rPr>
        <sz val="11"/>
        <rFont val="Times New Roman"/>
        <family val="1"/>
      </rPr>
      <t xml:space="preserve"> WIDTH</t>
    </r>
    <r>
      <rPr>
        <sz val="10"/>
        <rFont val="Arial"/>
        <family val="2"/>
      </rPr>
      <t xml:space="preserve"> 20- 75MM</t>
    </r>
  </si>
  <si>
    <t>FRAME FOR MOSAIC SURFACE 2 MODULES</t>
  </si>
  <si>
    <t>MOSIC SUPPORT ON TRUNKING FOR SIZE 100X34</t>
  </si>
  <si>
    <t>CUPS ON SUPPORT FRAME FOR MOSAIC 45 FOR 2 MODALE</t>
  </si>
  <si>
    <t>SUPPORT FRAME 4 MODULES</t>
  </si>
  <si>
    <t>CUP-oN SUPPORT FRAME FOR 60X34 2 MODULES</t>
  </si>
  <si>
    <t>Concrete paver, crawler</t>
  </si>
  <si>
    <t>5 – 8 M</t>
  </si>
  <si>
    <r>
      <t>Compressor,</t>
    </r>
    <r>
      <rPr>
        <sz val="6"/>
        <rFont val="Arial"/>
        <family val="2"/>
      </rPr>
      <t xml:space="preserve"> Trailer Mounted</t>
    </r>
    <r>
      <rPr>
        <sz val="8"/>
        <rFont val="Arial"/>
        <family val="2"/>
      </rPr>
      <t xml:space="preserve"> </t>
    </r>
  </si>
  <si>
    <t>250CFM</t>
  </si>
  <si>
    <t>350 CFM</t>
  </si>
  <si>
    <t>600 CFM</t>
  </si>
  <si>
    <t>Generator</t>
  </si>
  <si>
    <t>10-30 KW</t>
  </si>
  <si>
    <t>40 – 50KW</t>
  </si>
  <si>
    <t>60-100KW</t>
  </si>
  <si>
    <t>101-150KW</t>
  </si>
  <si>
    <t>200- 250 KW</t>
  </si>
  <si>
    <t xml:space="preserve">Water Pump, </t>
  </si>
  <si>
    <t>230 Lit/min</t>
  </si>
  <si>
    <t>Street Sweeper, self-prop.</t>
  </si>
  <si>
    <t>1 – 2m</t>
  </si>
  <si>
    <t xml:space="preserve">Grease unit, </t>
  </si>
  <si>
    <t>--</t>
  </si>
  <si>
    <r>
      <t xml:space="preserve">AC welder, </t>
    </r>
    <r>
      <rPr>
        <sz val="6"/>
        <rFont val="Arial"/>
        <family val="2"/>
      </rPr>
      <t>Diesel engine driven</t>
    </r>
  </si>
  <si>
    <t>300- 400 AMP</t>
  </si>
  <si>
    <t xml:space="preserve">AC Welder, Electric </t>
  </si>
  <si>
    <t>300 -400 AMP</t>
  </si>
  <si>
    <t>Ambulance (4x4)</t>
  </si>
  <si>
    <t>7.0x16</t>
  </si>
  <si>
    <r>
      <t xml:space="preserve">Station Wagon, </t>
    </r>
    <r>
      <rPr>
        <sz val="6"/>
        <rFont val="Arial"/>
        <family val="2"/>
      </rPr>
      <t>SWB, 4x4, Diesel</t>
    </r>
    <r>
      <rPr>
        <sz val="8"/>
        <rFont val="Arial"/>
        <family val="2"/>
      </rPr>
      <t xml:space="preserve"> </t>
    </r>
  </si>
  <si>
    <t>6 – 7 seat</t>
  </si>
  <si>
    <r>
      <t xml:space="preserve">Station Wagon, </t>
    </r>
    <r>
      <rPr>
        <sz val="6"/>
        <rFont val="Arial"/>
        <family val="2"/>
      </rPr>
      <t>SWB, 4x4, Petrol</t>
    </r>
    <r>
      <rPr>
        <sz val="8"/>
        <rFont val="Arial"/>
        <family val="2"/>
      </rPr>
      <t xml:space="preserve"> </t>
    </r>
  </si>
  <si>
    <r>
      <t xml:space="preserve">Station Wagon, </t>
    </r>
    <r>
      <rPr>
        <sz val="6"/>
        <rFont val="Arial"/>
        <family val="2"/>
      </rPr>
      <t>LWB, 4x4, Diesel</t>
    </r>
  </si>
  <si>
    <t>8 – 10 seat</t>
  </si>
  <si>
    <t>Diesel =</t>
  </si>
  <si>
    <t>Birr/Lit</t>
  </si>
  <si>
    <t xml:space="preserve"> Petrol =</t>
  </si>
  <si>
    <t>Junct.box</t>
  </si>
  <si>
    <t>Workshop/store/</t>
  </si>
  <si>
    <t>Bell Point</t>
  </si>
  <si>
    <t>Fan Out let</t>
  </si>
  <si>
    <t>Telephone Out</t>
  </si>
  <si>
    <t>Switchbox   no</t>
  </si>
  <si>
    <t>let</t>
  </si>
  <si>
    <t>TV out let</t>
  </si>
  <si>
    <t>Flat twin</t>
  </si>
  <si>
    <t>TV cable</t>
  </si>
  <si>
    <t>FIXTURES</t>
  </si>
  <si>
    <t>Bell System</t>
  </si>
  <si>
    <t>Buzzer</t>
  </si>
  <si>
    <t>VOLTAGE SURGE PROTECITON 2 POLE/40KA</t>
  </si>
  <si>
    <t xml:space="preserve">           "              "               "               4 POLEf40KA</t>
  </si>
  <si>
    <t>PLUG IN REPLACEMENT MODULES 40KA</t>
  </si>
  <si>
    <t xml:space="preserve">     "      "               "                       "            40KA</t>
  </si>
  <si>
    <t>BELL TRANSFORMER lA</t>
  </si>
  <si>
    <t>BELL TRASFORMER 220V/1263VA</t>
  </si>
  <si>
    <t>ISULATIG SWITCH lX20A OLD CAT03090</t>
  </si>
  <si>
    <t xml:space="preserve">          "               "       lX20A+INDICAT0R220V</t>
  </si>
  <si>
    <t>MAIN ISULATING SWITCH lX32A</t>
  </si>
  <si>
    <r>
      <t>"'---"</t>
    </r>
    <r>
      <rPr>
        <b/>
        <sz val="11"/>
        <rFont val="Courier New"/>
        <family val="3"/>
      </rPr>
      <t xml:space="preserve"> 04310</t>
    </r>
  </si>
  <si>
    <t>TUMBLAR SWITCH lX10A</t>
  </si>
  <si>
    <t>ISULATIG SWITCH 3X20A</t>
  </si>
  <si>
    <t xml:space="preserve">        "                 "      3X32A</t>
  </si>
  <si>
    <t xml:space="preserve">        "                 "     3X125A</t>
  </si>
  <si>
    <t>TERMINAL NEUTRAL BAR BLUE</t>
  </si>
  <si>
    <t>250mm thick basaltic stone hardcore shall be laid by hand over the selected material fill.The opening in the hard core shall be filled with crushed stone size 50-80mm. and then properly compacted with heavy rollers of 10-16 tones. The crushed aggrigate size25-40mm. shall be placed and properly compacted to a thickness of 60mm. The agregate base surface shall be kept clean  and dry.</t>
  </si>
  <si>
    <t>wall</t>
  </si>
  <si>
    <t>Wa.mor</t>
  </si>
  <si>
    <t>25 cm thick bri</t>
  </si>
  <si>
    <t xml:space="preserve">Brick </t>
  </si>
  <si>
    <t xml:space="preserve"> Brick </t>
  </si>
  <si>
    <t>Localy produced</t>
  </si>
  <si>
    <t>in Jimma</t>
  </si>
  <si>
    <t>C.fcrman</t>
  </si>
  <si>
    <t>incluiding</t>
  </si>
  <si>
    <t>fixing material</t>
  </si>
  <si>
    <t>Blocks</t>
  </si>
  <si>
    <t>Soil block</t>
  </si>
  <si>
    <t>4-ROOFING</t>
  </si>
  <si>
    <t xml:space="preserve">Roof cover in </t>
  </si>
  <si>
    <t>carpl-2</t>
  </si>
  <si>
    <t>onduline</t>
  </si>
  <si>
    <t>Ridge</t>
  </si>
  <si>
    <t>D-Labour</t>
  </si>
  <si>
    <t>Car form</t>
  </si>
  <si>
    <t>Gl- 28 roof cover</t>
  </si>
  <si>
    <t xml:space="preserve">Roofing </t>
  </si>
  <si>
    <t>Ega 500 (t=0.5)</t>
  </si>
  <si>
    <t>Roof</t>
  </si>
  <si>
    <t>m2</t>
  </si>
  <si>
    <t>Jbolt</t>
  </si>
  <si>
    <t>no</t>
  </si>
  <si>
    <t>purlin</t>
  </si>
  <si>
    <t>Dia 10 cm euca</t>
  </si>
  <si>
    <t>Eucaly</t>
  </si>
  <si>
    <t>Truss</t>
  </si>
  <si>
    <t>Band</t>
  </si>
  <si>
    <t>Facia boared</t>
  </si>
  <si>
    <t>Boared</t>
  </si>
  <si>
    <t>Door</t>
  </si>
  <si>
    <t>Carp.I</t>
  </si>
  <si>
    <t>Lock</t>
  </si>
  <si>
    <t>Carp. II</t>
  </si>
  <si>
    <t>Varnish</t>
  </si>
  <si>
    <t>Chisler</t>
  </si>
  <si>
    <t>hlnges</t>
  </si>
  <si>
    <t>Plasterer</t>
  </si>
  <si>
    <t>6-METAL AND STEEL WORK</t>
  </si>
  <si>
    <t>Metal door</t>
  </si>
  <si>
    <t>Door set</t>
  </si>
  <si>
    <t>Carp.II</t>
  </si>
  <si>
    <t>Syntati</t>
  </si>
  <si>
    <t>Hlnges</t>
  </si>
  <si>
    <t>RHS</t>
  </si>
  <si>
    <t>Welder</t>
  </si>
  <si>
    <t xml:space="preserve"> D.labour.</t>
  </si>
  <si>
    <t>W.ma.</t>
  </si>
  <si>
    <t>7-FINISHING WORK</t>
  </si>
  <si>
    <t>Qnt</t>
  </si>
  <si>
    <t>wa. Ce</t>
  </si>
  <si>
    <t>Wa. Mor</t>
  </si>
  <si>
    <t>Previous price</t>
  </si>
  <si>
    <t xml:space="preserve"> Retain 50% of the worker for 2 Months </t>
  </si>
  <si>
    <t>9.1.41</t>
  </si>
  <si>
    <t>9.1.42</t>
  </si>
  <si>
    <t>9.1.43</t>
  </si>
  <si>
    <t>9.1.44</t>
  </si>
  <si>
    <t>9.1.45</t>
  </si>
  <si>
    <t>9.1.46</t>
  </si>
  <si>
    <t>9.1.47</t>
  </si>
  <si>
    <t>9.1.48</t>
  </si>
  <si>
    <t xml:space="preserve">9.2 LIGHT POINTS  </t>
  </si>
  <si>
    <t>9.2.1</t>
  </si>
  <si>
    <t>9.3 SWITCHES</t>
  </si>
  <si>
    <t>9.3.1</t>
  </si>
  <si>
    <t>9.3.2</t>
  </si>
  <si>
    <t>9.3.3</t>
  </si>
  <si>
    <t>9.3.4</t>
  </si>
  <si>
    <t>9.3.5</t>
  </si>
  <si>
    <t>9.4 SOCKET OUTLETS POWER POINTS AND FLOOR BOX</t>
  </si>
  <si>
    <t>9.4.01</t>
  </si>
  <si>
    <t>9.4.02</t>
  </si>
  <si>
    <t>9.4.03</t>
  </si>
  <si>
    <t>9.4.04</t>
  </si>
  <si>
    <t>9.5 TELEPHONE POINTS</t>
  </si>
  <si>
    <t>13-RZB 331023.002 with 1x100W lamp or approved equivalent.</t>
  </si>
  <si>
    <t>14-Massive 36236 / 17 / 10, 3xE14 with 3x40W lamp</t>
  </si>
  <si>
    <t>Bus bar of 400 A</t>
  </si>
  <si>
    <t xml:space="preserve">Main distribution board </t>
  </si>
  <si>
    <t>Sub distrbution board</t>
  </si>
  <si>
    <t>Bard</t>
  </si>
  <si>
    <t>Boards</t>
  </si>
  <si>
    <t>SDB-4-2F</t>
  </si>
  <si>
    <t>SDB-4-1F</t>
  </si>
  <si>
    <t>MDB-4-GF</t>
  </si>
  <si>
    <t>Sub distrbution board SDB-4-4F</t>
  </si>
  <si>
    <t>9.6 TYPE OF LIGHT FITTINGS WITH LAMPS</t>
  </si>
  <si>
    <t>9.6.1</t>
  </si>
  <si>
    <t>9.6.2</t>
  </si>
  <si>
    <t>9.6.3</t>
  </si>
  <si>
    <t>9.6.4</t>
  </si>
  <si>
    <t>9.6.5</t>
  </si>
  <si>
    <t>9.6.6</t>
  </si>
  <si>
    <t>9.6.7</t>
  </si>
  <si>
    <t>9.6.8</t>
  </si>
  <si>
    <t>9.6.9</t>
  </si>
  <si>
    <t>9.6.10</t>
  </si>
  <si>
    <t>9.6.11</t>
  </si>
  <si>
    <t>9.7 CABLES</t>
  </si>
  <si>
    <t>9.7.01</t>
  </si>
  <si>
    <t>9.7.02</t>
  </si>
  <si>
    <t>9.7.03</t>
  </si>
  <si>
    <t>9.7.04</t>
  </si>
  <si>
    <t>9.7.05</t>
  </si>
  <si>
    <r>
      <t>3x70/35mm</t>
    </r>
    <r>
      <rPr>
        <vertAlign val="superscript"/>
        <sz val="10"/>
        <rFont val="Arial"/>
        <family val="2"/>
      </rPr>
      <t>2</t>
    </r>
    <r>
      <rPr>
        <sz val="10"/>
        <rFont val="Arial"/>
        <family val="2"/>
      </rPr>
      <t xml:space="preserve"> (1x1000)  STANDARD</t>
    </r>
  </si>
  <si>
    <r>
      <t>3x95/50mm</t>
    </r>
    <r>
      <rPr>
        <vertAlign val="superscript"/>
        <sz val="10"/>
        <rFont val="Arial"/>
        <family val="2"/>
      </rPr>
      <t>2</t>
    </r>
    <r>
      <rPr>
        <sz val="10"/>
        <rFont val="Arial"/>
        <family val="2"/>
      </rPr>
      <t xml:space="preserve">                STANDARD</t>
    </r>
  </si>
  <si>
    <r>
      <t>3x120/70mm</t>
    </r>
    <r>
      <rPr>
        <vertAlign val="superscript"/>
        <sz val="10"/>
        <rFont val="Arial"/>
        <family val="2"/>
      </rPr>
      <t>2</t>
    </r>
    <r>
      <rPr>
        <sz val="10"/>
        <rFont val="Arial"/>
        <family val="2"/>
      </rPr>
      <t xml:space="preserve">              STANDARD</t>
    </r>
  </si>
  <si>
    <r>
      <t>3x150/70mm</t>
    </r>
    <r>
      <rPr>
        <vertAlign val="superscript"/>
        <sz val="10"/>
        <rFont val="Arial"/>
        <family val="2"/>
      </rPr>
      <t>2</t>
    </r>
    <r>
      <rPr>
        <sz val="10"/>
        <rFont val="Arial"/>
        <family val="2"/>
      </rPr>
      <t xml:space="preserve">              STANDARD</t>
    </r>
  </si>
  <si>
    <r>
      <t>3x185/95mm</t>
    </r>
    <r>
      <rPr>
        <vertAlign val="superscript"/>
        <sz val="10"/>
        <rFont val="Arial"/>
        <family val="2"/>
      </rPr>
      <t>2</t>
    </r>
    <r>
      <rPr>
        <sz val="10"/>
        <rFont val="Arial"/>
        <family val="2"/>
      </rPr>
      <t xml:space="preserve">              STANDARD</t>
    </r>
  </si>
  <si>
    <r>
      <t>3x240/120mm</t>
    </r>
    <r>
      <rPr>
        <vertAlign val="superscript"/>
        <sz val="10"/>
        <rFont val="Arial"/>
        <family val="2"/>
      </rPr>
      <t>2</t>
    </r>
    <r>
      <rPr>
        <sz val="10"/>
        <rFont val="Arial"/>
        <family val="2"/>
      </rPr>
      <t xml:space="preserve">             STANDARD</t>
    </r>
  </si>
  <si>
    <r>
      <t>3x300/150mm</t>
    </r>
    <r>
      <rPr>
        <vertAlign val="superscript"/>
        <sz val="10"/>
        <rFont val="Arial"/>
        <family val="2"/>
      </rPr>
      <t>2</t>
    </r>
    <r>
      <rPr>
        <sz val="10"/>
        <rFont val="Arial"/>
        <family val="2"/>
      </rPr>
      <t xml:space="preserve">             STANDARD</t>
    </r>
  </si>
  <si>
    <t>Fire Resistant Cables</t>
  </si>
  <si>
    <r>
      <t>2x1mm</t>
    </r>
    <r>
      <rPr>
        <vertAlign val="superscript"/>
        <sz val="10"/>
        <rFont val="Arial"/>
        <family val="2"/>
      </rPr>
      <t>2</t>
    </r>
    <r>
      <rPr>
        <sz val="10"/>
        <rFont val="Arial"/>
        <family val="2"/>
      </rPr>
      <t xml:space="preserve">  Red Color </t>
    </r>
  </si>
  <si>
    <r>
      <t>2x1.5mm</t>
    </r>
    <r>
      <rPr>
        <vertAlign val="superscript"/>
        <sz val="10"/>
        <rFont val="Arial"/>
        <family val="2"/>
      </rPr>
      <t>2</t>
    </r>
    <r>
      <rPr>
        <sz val="10"/>
        <rFont val="Arial"/>
        <family val="2"/>
      </rPr>
      <t xml:space="preserve">  Red Color </t>
    </r>
  </si>
  <si>
    <r>
      <t>2x2.5mm</t>
    </r>
    <r>
      <rPr>
        <vertAlign val="superscript"/>
        <sz val="10"/>
        <rFont val="Arial"/>
        <family val="2"/>
      </rPr>
      <t>2</t>
    </r>
    <r>
      <rPr>
        <sz val="10"/>
        <rFont val="Arial"/>
        <family val="2"/>
      </rPr>
      <t xml:space="preserve">  Red Color </t>
    </r>
  </si>
  <si>
    <t>Dama Trade</t>
  </si>
  <si>
    <t>Biselex Ethoipia Ltd.</t>
  </si>
  <si>
    <t>and fixing for saddles.</t>
  </si>
  <si>
    <t>5.4.04</t>
  </si>
  <si>
    <t>Lightning event counter (Erico) LEC-IV or equivalent and approved</t>
  </si>
  <si>
    <t>5.4.05</t>
  </si>
  <si>
    <t>Aluminum normal hand rail</t>
  </si>
  <si>
    <t>Aluminum partition wall</t>
  </si>
  <si>
    <t>Aluminum suspended ceiling</t>
  </si>
  <si>
    <t>Electrici.</t>
  </si>
  <si>
    <t>(dormitory,Apart.</t>
  </si>
  <si>
    <t>Pvc condu.</t>
  </si>
  <si>
    <t>Helper</t>
  </si>
  <si>
    <t>J.box</t>
  </si>
  <si>
    <t>Connector</t>
  </si>
  <si>
    <t>Work shop/Store</t>
  </si>
  <si>
    <t>(Contineous)</t>
  </si>
  <si>
    <t>(Office)</t>
  </si>
  <si>
    <t>Conductor</t>
  </si>
  <si>
    <t>SWITCH</t>
  </si>
  <si>
    <t>Legrand</t>
  </si>
  <si>
    <t>switch</t>
  </si>
  <si>
    <t>Two Way</t>
  </si>
  <si>
    <t>Intermediate</t>
  </si>
  <si>
    <t>Switch</t>
  </si>
  <si>
    <t>Socket Outlet</t>
  </si>
  <si>
    <t>Out let</t>
  </si>
  <si>
    <t>Residence/Dorm.</t>
  </si>
  <si>
    <t>Conductor   m</t>
  </si>
  <si>
    <r>
      <t>4x16mm</t>
    </r>
    <r>
      <rPr>
        <vertAlign val="superscript"/>
        <sz val="10"/>
        <rFont val="Arial"/>
        <family val="2"/>
      </rPr>
      <t>2</t>
    </r>
    <r>
      <rPr>
        <sz val="10"/>
        <rFont val="Arial"/>
        <family val="2"/>
      </rPr>
      <t xml:space="preserve"> (3x1000) BLACK H05VV-F</t>
    </r>
  </si>
  <si>
    <t>mortar</t>
  </si>
  <si>
    <t xml:space="preserve">EPDM water </t>
  </si>
  <si>
    <t xml:space="preserve">profing </t>
  </si>
  <si>
    <t xml:space="preserve">EPDM </t>
  </si>
  <si>
    <t>membrane</t>
  </si>
  <si>
    <t>including</t>
  </si>
  <si>
    <t>contact</t>
  </si>
  <si>
    <t>adhesive &amp;</t>
  </si>
  <si>
    <t>sealant</t>
  </si>
  <si>
    <t xml:space="preserve">galvanized </t>
  </si>
  <si>
    <t>iron profiles</t>
  </si>
  <si>
    <t>with fastners</t>
  </si>
  <si>
    <t xml:space="preserve">to fix the </t>
  </si>
  <si>
    <t xml:space="preserve">Non-slippery </t>
  </si>
  <si>
    <t>ceramic floor tile</t>
  </si>
  <si>
    <t>ceramic tile</t>
  </si>
  <si>
    <t>qtl</t>
  </si>
  <si>
    <t>mason</t>
  </si>
  <si>
    <t xml:space="preserve">100x20mm </t>
  </si>
  <si>
    <t>terazzo skirting</t>
  </si>
  <si>
    <t>skirting</t>
  </si>
  <si>
    <t>180/100-1kg/m2 and</t>
  </si>
  <si>
    <t>7/m2</t>
  </si>
  <si>
    <t>180/100</t>
  </si>
  <si>
    <t>0/5mm</t>
  </si>
  <si>
    <t>Aluminum windows and doors made of extruded profiles of 6060 standard of UNI3569 HB65 norms dimensional tolerance and thickness of the aluminum to be of UNI3879 norm spacer for the glazing and panels with average from 10 - 42mm. Operable windows to be of horizontal and vertical pivoting. Aluminum profile  of bronze color with brushed finish cut and assembled to the sizes and shapes shown on the schedule of windows and doors. Manufacturing of the door and windows subject to approval of shop drawings to be provided by the Contractor.  Price shall include ASSA or equivalent locks necessary  door stopper,  and handle. All according to the detail drawing.( glazing m/s). (Industrial type of locks and accessories please refer to door and window schedule).</t>
  </si>
  <si>
    <t>Doors</t>
  </si>
  <si>
    <t>Windows</t>
  </si>
  <si>
    <t>Ditto but for SDB-4-3F-7 and consisting of:-</t>
  </si>
  <si>
    <t>Ditto but for SDB-4-3F-8 and consisting of:-</t>
  </si>
  <si>
    <t>Total over head &amp; profit cost</t>
  </si>
  <si>
    <t xml:space="preserve"> WD13size 3650 x 3100mm</t>
  </si>
  <si>
    <t xml:space="preserve"> WD8 size 4600 x 3100mm</t>
  </si>
  <si>
    <t>W12  size2450x2200mm</t>
  </si>
  <si>
    <t>W13  size 1200x1000mm</t>
  </si>
  <si>
    <t>W17 size 1150 x 2200 mm</t>
  </si>
  <si>
    <t>W18  size 1000 x 2200mm</t>
  </si>
  <si>
    <t>W19 size5700 x 2200mm</t>
  </si>
  <si>
    <t>W20 size 700 x 2200mm</t>
  </si>
  <si>
    <t>W21  size (1150 x 2200)+(1150x2200)mm</t>
  </si>
  <si>
    <t>W22 size 1200 x 2200mm</t>
  </si>
  <si>
    <t>W36 size2150 x 1000mm</t>
  </si>
  <si>
    <t xml:space="preserve"> D5 size  900 x 3100mm </t>
  </si>
  <si>
    <t xml:space="preserve"> D11 size  800 x 3100mm </t>
  </si>
  <si>
    <t>Tiler</t>
  </si>
  <si>
    <t xml:space="preserve">TILER </t>
  </si>
  <si>
    <t>D.labourer</t>
  </si>
  <si>
    <t>Marble 20mm</t>
  </si>
  <si>
    <t>Marble 30mm</t>
  </si>
  <si>
    <t>production (1:1)</t>
  </si>
  <si>
    <t>Flush mounted sub-distribution board, SDB-3-2F made of steel, IP43 with lockable door, earthing bar, connectors and all the necessary accessories consisting of:-</t>
  </si>
  <si>
    <t>all complete with bus bar system of 100A and ample reserve spaces.</t>
  </si>
  <si>
    <t>all complete with bus bar system of 63A and ample reserve spaces.</t>
  </si>
  <si>
    <t>Supply and fix  200x200x20mm ceramic floor tile with cement sand mortar (1:3).Price shall include polishing chanffering,grouting with matching colour and other necessary works.</t>
  </si>
  <si>
    <t xml:space="preserve">Apply two coats of plaster in cement mortar (1.3) to  external  wall  to receive klinker tile. </t>
  </si>
  <si>
    <t>COST OF CONSTRUCTION MATERIAL AT ADDIS ABABA</t>
  </si>
  <si>
    <t>7-Lombardo LB80221 with E27 1x60W lamp or approved equivalent.</t>
  </si>
  <si>
    <t>8-Massive 85020 / 18 / 31, 1xG13 with 1x18W lamp</t>
  </si>
  <si>
    <t>approved or equivalent.</t>
  </si>
  <si>
    <t xml:space="preserve">12-Philips TCW 215 / 236 with 2x"TL"D 36W / 54 fluorescent lamp </t>
  </si>
  <si>
    <t>24-Emergency lighting Legrand 627 44, 230V, with 1x18W lamp</t>
  </si>
  <si>
    <t>25-RZB 64230.002 with C35 1x15W lamp or approved equivalent.</t>
  </si>
  <si>
    <t>27-RZB 93167.962 with TC-D 2x18W lamp or approved equivalent.</t>
  </si>
  <si>
    <t>PVC sheathed XLPE insulated cable rating of</t>
  </si>
  <si>
    <t>0.6/1KV or approved equivalent and of:-</t>
  </si>
  <si>
    <r>
      <t>3x6mm</t>
    </r>
    <r>
      <rPr>
        <vertAlign val="superscript"/>
        <sz val="10"/>
        <rFont val="Arial"/>
        <family val="2"/>
      </rPr>
      <t>2</t>
    </r>
    <r>
      <rPr>
        <sz val="10"/>
        <rFont val="Arial"/>
        <family val="2"/>
      </rPr>
      <t xml:space="preserve"> from MDB-4-GF to SDB-4-GF-1</t>
    </r>
  </si>
  <si>
    <r>
      <t>3x6mm</t>
    </r>
    <r>
      <rPr>
        <vertAlign val="superscript"/>
        <sz val="10"/>
        <rFont val="Arial"/>
        <family val="2"/>
      </rPr>
      <t>2</t>
    </r>
    <r>
      <rPr>
        <sz val="10"/>
        <rFont val="Arial"/>
        <family val="2"/>
      </rPr>
      <t xml:space="preserve"> from MDB-4-GF to SDB-4-GF-2</t>
    </r>
  </si>
  <si>
    <r>
      <t>3x6mm</t>
    </r>
    <r>
      <rPr>
        <vertAlign val="superscript"/>
        <sz val="10"/>
        <rFont val="Arial"/>
        <family val="2"/>
      </rPr>
      <t>2</t>
    </r>
    <r>
      <rPr>
        <sz val="10"/>
        <rFont val="Arial"/>
        <family val="2"/>
      </rPr>
      <t xml:space="preserve"> from MDB-4-GF to SDB-4-GF-3</t>
    </r>
  </si>
  <si>
    <r>
      <t>3x6mm</t>
    </r>
    <r>
      <rPr>
        <vertAlign val="superscript"/>
        <sz val="10"/>
        <rFont val="Arial"/>
        <family val="2"/>
      </rPr>
      <t>2</t>
    </r>
    <r>
      <rPr>
        <sz val="10"/>
        <rFont val="Arial"/>
        <family val="2"/>
      </rPr>
      <t xml:space="preserve"> from MDB-4-GF to SDB-4-GF-4</t>
    </r>
  </si>
  <si>
    <r>
      <t>3x6mm</t>
    </r>
    <r>
      <rPr>
        <vertAlign val="superscript"/>
        <sz val="10"/>
        <rFont val="Arial"/>
        <family val="2"/>
      </rPr>
      <t>2</t>
    </r>
    <r>
      <rPr>
        <sz val="10"/>
        <rFont val="Arial"/>
        <family val="2"/>
      </rPr>
      <t xml:space="preserve"> from MDB-4-GF to SDB-4-GF-5</t>
    </r>
  </si>
  <si>
    <r>
      <t>3x6mm</t>
    </r>
    <r>
      <rPr>
        <vertAlign val="superscript"/>
        <sz val="10"/>
        <rFont val="Arial"/>
        <family val="2"/>
      </rPr>
      <t>2</t>
    </r>
    <r>
      <rPr>
        <sz val="10"/>
        <rFont val="Arial"/>
        <family val="2"/>
      </rPr>
      <t xml:space="preserve"> from MDB-4-GF to SDB-4-GF-6</t>
    </r>
  </si>
  <si>
    <r>
      <t>3x6mm</t>
    </r>
    <r>
      <rPr>
        <vertAlign val="superscript"/>
        <sz val="10"/>
        <rFont val="Arial"/>
        <family val="2"/>
      </rPr>
      <t>2</t>
    </r>
    <r>
      <rPr>
        <sz val="10"/>
        <rFont val="Arial"/>
        <family val="2"/>
      </rPr>
      <t xml:space="preserve"> from MDB-4-GF to SDB-4-GF-7</t>
    </r>
  </si>
  <si>
    <r>
      <t>3x6mm</t>
    </r>
    <r>
      <rPr>
        <vertAlign val="superscript"/>
        <sz val="10"/>
        <rFont val="Arial"/>
        <family val="2"/>
      </rPr>
      <t>2</t>
    </r>
    <r>
      <rPr>
        <sz val="10"/>
        <rFont val="Arial"/>
        <family val="2"/>
      </rPr>
      <t xml:space="preserve"> from MDB-4-GF to SDB-4-GF-8</t>
    </r>
  </si>
  <si>
    <r>
      <t>5x16mm</t>
    </r>
    <r>
      <rPr>
        <vertAlign val="superscript"/>
        <sz val="10"/>
        <rFont val="Arial"/>
        <family val="2"/>
      </rPr>
      <t>2</t>
    </r>
    <r>
      <rPr>
        <sz val="10"/>
        <rFont val="Arial"/>
        <family val="2"/>
      </rPr>
      <t xml:space="preserve"> from MDB-4-GF to SDB-4-1F</t>
    </r>
  </si>
  <si>
    <t>Ditto but for SDB-1-IF-2 and consisting of:-</t>
  </si>
  <si>
    <t>1 pc   main MCB of 50A, 1ph, Icu=15KA.</t>
  </si>
  <si>
    <t>3 pcs MCB of 10A, 1ph, Icu=6KA.</t>
  </si>
  <si>
    <t>Project cost+Overhead=</t>
  </si>
  <si>
    <t>Ditto but for SDB-4-2F-6 and consisting of:-</t>
  </si>
  <si>
    <t>Ditto but for SDB-4-2F-7 and consisting of:-</t>
  </si>
  <si>
    <t>Ditto but for SDB-4-2F-8 and consisting of:-</t>
  </si>
  <si>
    <t>Ditto but for SDB-4-2F-9 and consisting of:-</t>
  </si>
  <si>
    <t>Ditto but for SDB-4-3F-1 and consisting of:-</t>
  </si>
  <si>
    <t>Ditto but for SDB-4-3F-2 and consisting of:-</t>
  </si>
  <si>
    <t>Ditto but for SDB-4-3F-3 and consisting of:-</t>
  </si>
  <si>
    <t>Ditto but for SDB-4-3F-4 and consisting of:-</t>
  </si>
  <si>
    <t>Ditto but for SDB-4-3F-5 and consisting of:-</t>
  </si>
  <si>
    <t>10.4.10</t>
  </si>
  <si>
    <t>Ditto item number 10.4.8 above , but on storm water drainage system.</t>
  </si>
  <si>
    <t>10.4.11</t>
  </si>
  <si>
    <t>Construct  open ditch out of half precast concrete round pipes  Price shall include excavation, cart away and all civil works.and openable grill cover as shown on the detailed drawing.</t>
  </si>
  <si>
    <t>EGA 700 0.80mm. thick 63cm wide</t>
  </si>
  <si>
    <t>EGA 700 1.00mm. thick 63cm wide</t>
  </si>
  <si>
    <t>EGA 600 0.30mm. thick 67cm wide</t>
  </si>
  <si>
    <t>EGA 700 0.30mm. thick 63cm wide</t>
  </si>
  <si>
    <t>II</t>
  </si>
  <si>
    <t>III</t>
  </si>
  <si>
    <t>IV</t>
  </si>
  <si>
    <t>V</t>
  </si>
  <si>
    <t>COMMERCIAL BLOCK</t>
  </si>
  <si>
    <t>RESIDENTIAL BLOCK</t>
  </si>
  <si>
    <t>size (1.10x0.60x0.57)m.</t>
  </si>
  <si>
    <t>Supply and fix crystal glass mirrors for toilets and wash basins with copper back protection, size: 500/400 mm including chrome  plated brass mirror clips with chrome plated screws and etc... for hand wash basins.</t>
  </si>
  <si>
    <t>10.1.5</t>
  </si>
  <si>
    <t>Supply and fix single tubular chrome plated swing pattern towel rails, with chrome plated fastening screws. Complete with all the accessories.  /For hand wash basins and shower/</t>
  </si>
  <si>
    <t>10.1.6</t>
  </si>
  <si>
    <t>Supply and fix soap holder in white vitreous china of size 150 x 150 mm.  Complete with the necessary fixing and other accessories for hand wash basins and shower.</t>
  </si>
  <si>
    <t>10.1.7</t>
  </si>
  <si>
    <t>Supply and fix floor drains made of polished steel of approved quality, complete with P-smell trap and all other necessary fittings and accessories.</t>
  </si>
  <si>
    <t xml:space="preserve">      Size:- Dia. 100 mm</t>
  </si>
  <si>
    <t>10.1.8</t>
  </si>
  <si>
    <t xml:space="preserve">average depth of  </t>
  </si>
  <si>
    <t>cost 5%</t>
  </si>
  <si>
    <t>of mater.</t>
  </si>
  <si>
    <t>price</t>
  </si>
  <si>
    <t>18-Massive 70748 / 02 / 43, E27 with 2x40W lamp</t>
  </si>
  <si>
    <t>19-Massive 32005 / 31 / 10, 1xE27 with 60W lamp</t>
  </si>
  <si>
    <t>20-RZB 40123.002.1 with C35 2x40W lamp or approved equivalent.</t>
  </si>
  <si>
    <t>9.6.12</t>
  </si>
  <si>
    <t>21-RZB 21641.002 with A60 1x60W lamp or approved equivalent.</t>
  </si>
  <si>
    <t>9.6.13</t>
  </si>
  <si>
    <t>22-Massive 59701 / 17 / 10, 2xG4 with 2x20W lamp</t>
  </si>
  <si>
    <t>9.6.14</t>
  </si>
  <si>
    <t xml:space="preserve">23-Philips TCS 097 / 236 IC O with 2x"TL"D 36W / 840 </t>
  </si>
  <si>
    <t>fluorescent lamp or approved eqivalent.</t>
  </si>
  <si>
    <t>9.6.15</t>
  </si>
  <si>
    <t>9.6.16</t>
  </si>
  <si>
    <t>26-Massive 33085 / 48 / 10, 2xG9 with 2x25W lamp</t>
  </si>
  <si>
    <t>9.7  TV POINTS</t>
  </si>
  <si>
    <t xml:space="preserve">TV points only thermoplastic conduit of minimum </t>
  </si>
  <si>
    <t xml:space="preserve">diameter of 20mm as shown on drawings, including </t>
  </si>
  <si>
    <t xml:space="preserve">junction boxes with covers, and pulling guy wires </t>
  </si>
  <si>
    <t xml:space="preserve">inside conduits. </t>
  </si>
  <si>
    <t xml:space="preserve">TV splitter/ tap off connection boxes of </t>
  </si>
  <si>
    <t>Supply and lay internal PVC waste pipes according to where shown on the drawings.  Complete with all the necessary fittings.</t>
  </si>
  <si>
    <t xml:space="preserve">     Dia.  50  mm</t>
  </si>
  <si>
    <t xml:space="preserve">     Dia.  65 mm</t>
  </si>
  <si>
    <t xml:space="preserve">     a) Ditch size:  1/2 Diameter 300mm</t>
  </si>
  <si>
    <t xml:space="preserve">     b) Ditch size:  1/2 Diameter 400mm</t>
  </si>
  <si>
    <t>10.4.12</t>
  </si>
  <si>
    <t>Ditto to item number 10.4.11 above with concrete cover</t>
  </si>
  <si>
    <t>Supply and fix electric water heater with a capacity given below. Complete with all water proofing, mounting and fastening material, safety, one-way valve and gate valve. Complete with all the accessories</t>
  </si>
  <si>
    <t>Capacity 50 Liter</t>
  </si>
  <si>
    <t>10.1.11</t>
  </si>
  <si>
    <t>Ditto but for SDB-4-2F-5 and consisting of:-</t>
  </si>
  <si>
    <t>7   pcs MCB of 10A, 1ph, Icu=6KA.</t>
  </si>
  <si>
    <t>all complete with bus bar system of 100A and ample</t>
  </si>
  <si>
    <t>Ditto but for SDB-3-3F and consisting of:-</t>
  </si>
  <si>
    <t>14 pcs MCB of 16A, 1ph, Icu=6KA.</t>
  </si>
  <si>
    <t xml:space="preserve">Socket outlet GEWISS eco range or approved equivalent, flush </t>
  </si>
  <si>
    <t xml:space="preserve">mounted, 16A, 1ph, schuko type in rigid thermoplastic conduit of </t>
  </si>
  <si>
    <r>
      <t>diameter 16mm fed by PVC conductor of 3x2.5mm</t>
    </r>
    <r>
      <rPr>
        <vertAlign val="superscript"/>
        <sz val="10"/>
        <rFont val="Lucida Sans"/>
        <family val="2"/>
      </rPr>
      <t>2</t>
    </r>
    <r>
      <rPr>
        <sz val="10"/>
        <rFont val="Lucida Sans"/>
        <family val="2"/>
      </rPr>
      <t>.</t>
    </r>
  </si>
  <si>
    <t xml:space="preserve">Floor box flush mounting Legrand Batik, 16 modules frame with  </t>
  </si>
  <si>
    <t>accessories for board meeting room &amp; multipurpose hall .</t>
  </si>
  <si>
    <t xml:space="preserve">RJ45 twin outlets type GEWISS eco range, Category 6 with </t>
  </si>
  <si>
    <t>8 contacts complete with all necessary accessories</t>
  </si>
  <si>
    <t xml:space="preserve">RJ45 twin outlets type Legand Mosaic range, Category 6 with </t>
  </si>
  <si>
    <t>Patch panel in 19" steel enclosure with lockable door, PP-GF</t>
  </si>
  <si>
    <t xml:space="preserve">with 36 pcs RJ45 sockets, 8-wire distribution, CAT 6, including </t>
  </si>
  <si>
    <t xml:space="preserve">screen, lable holder, patch cords, 1 pc schucko socket block </t>
  </si>
  <si>
    <t>and necessary accessories for complete installation and  proper performance.  Price shall also include civil assistance works. The work shall be carried out in accordance with the technical specification, manufacturer's insturction, and as shown on the drawings.</t>
  </si>
  <si>
    <t xml:space="preserve">       Capacity  :   Discharge = 8 liters/second</t>
  </si>
  <si>
    <t xml:space="preserve">                          Total head = 54 meters</t>
  </si>
  <si>
    <t xml:space="preserve">                          Estimated power = 7.5Kw</t>
  </si>
  <si>
    <t>Supply and install water meter of approved quality price shall include gate valves after and before water meter.</t>
  </si>
  <si>
    <t xml:space="preserve">    Dia. 100 mm.</t>
  </si>
  <si>
    <t>Supply and install Pillar type Fire Hydrants as shown in the site plan and instructed by the Engineer</t>
  </si>
  <si>
    <t>Surface mounted sub-main distribution board, MDB-4-GF</t>
  </si>
  <si>
    <t xml:space="preserve">made of steel, IP54 with lockable door, earthing bar, connectors </t>
  </si>
  <si>
    <t>and all the necessary accessories consisting of:-</t>
  </si>
  <si>
    <t>2010's current price</t>
  </si>
  <si>
    <r>
      <t>m</t>
    </r>
    <r>
      <rPr>
        <vertAlign val="superscript"/>
        <sz val="10"/>
        <rFont val="Arial"/>
        <family val="2"/>
      </rPr>
      <t>2</t>
    </r>
  </si>
  <si>
    <t>1 pc  24 hour time switch with 50 hours of back-up power</t>
  </si>
  <si>
    <t>5.1.04</t>
  </si>
  <si>
    <t xml:space="preserve">Flush mounted sub-distribution board, SDB-SEC-2 made of steel, </t>
  </si>
  <si>
    <t>1 pc   main MCB of 25A/3P, Icu=15KA</t>
  </si>
  <si>
    <t>2 pcs MCB of 16A/1P, Icu=10KA</t>
  </si>
  <si>
    <t>2 pcs contactors K1-K2 with 2N/O contacts of 20A/2P,</t>
  </si>
  <si>
    <t>1 pc  contactor K3 with 4N/O contacts of 20A/3P,</t>
  </si>
  <si>
    <t>3 pcs  Auto/off/manual (3-fixed positions) control switch</t>
  </si>
  <si>
    <t>5.2 DIESEL GENERATOR</t>
  </si>
  <si>
    <t>SUB STRUCTURE</t>
  </si>
  <si>
    <t>"</t>
  </si>
  <si>
    <t>B)</t>
  </si>
  <si>
    <t>SUPER STRUCTURE</t>
  </si>
  <si>
    <t>1.0</t>
  </si>
  <si>
    <t>1.1</t>
  </si>
  <si>
    <t>Clearing of the site to remove top soil and other rubbish materials to an average depth of 300mm.</t>
  </si>
  <si>
    <t>Total carried to summary</t>
  </si>
  <si>
    <t>Reinforced concrete in C-25 filled in to form work and vibrated around steel reinforcement (formwork and reinforcement measured separately)</t>
  </si>
  <si>
    <t>BIRR</t>
  </si>
  <si>
    <r>
      <t>conduit of diameter 16mm fed by PVC conductor of 3x2.5mm</t>
    </r>
    <r>
      <rPr>
        <vertAlign val="superscript"/>
        <sz val="10"/>
        <rFont val="Lucida Sans"/>
        <family val="2"/>
      </rPr>
      <t>2</t>
    </r>
    <r>
      <rPr>
        <sz val="10"/>
        <rFont val="Lucida Sans"/>
        <family val="2"/>
      </rPr>
      <t>.</t>
    </r>
  </si>
  <si>
    <t xml:space="preserve">Floor box flush mounting Legrand Batik, 8 modules frame with  </t>
  </si>
  <si>
    <t>11-Disano 911 Saving CNL FLC 2x18D with 2xG24d-2 compact flu. Lamps or approved eqivalent.</t>
  </si>
  <si>
    <t>Trench excavation in ordinary soil to stone masonry foundation wall to a depth not exceeding 150cm, starting from reduced level</t>
  </si>
  <si>
    <t>Burayu Brick Factory</t>
  </si>
  <si>
    <t>Oil Paint</t>
  </si>
  <si>
    <t>Terrazzo (20x20cm.) red and yellow</t>
  </si>
  <si>
    <t>Terrazzo (20x20cm.) green</t>
  </si>
  <si>
    <t>"                       "                            "  2X60W D-280MM</t>
  </si>
  <si>
    <t>Agro stone</t>
  </si>
  <si>
    <t>Hydra foam</t>
  </si>
  <si>
    <t>Jimma locally produced brick</t>
  </si>
  <si>
    <t>SANITARY FITTINGS</t>
  </si>
  <si>
    <t>Tabor</t>
  </si>
  <si>
    <t>ELECTRICAL WIRE &amp; FITTINGS</t>
  </si>
  <si>
    <t>NB.</t>
  </si>
  <si>
    <r>
      <t>1</t>
    </r>
    <r>
      <rPr>
        <i/>
        <sz val="10"/>
        <rFont val="Times New Roman"/>
        <family val="1"/>
      </rPr>
      <t>Average of Building Material Supply Enterprise and Ethiopian Iron and Steel Foundry (Akaki Beska)</t>
    </r>
  </si>
  <si>
    <r>
      <t>2</t>
    </r>
    <r>
      <rPr>
        <i/>
        <sz val="10"/>
        <rFont val="Times New Roman"/>
        <family val="1"/>
      </rPr>
      <t xml:space="preserve">Average of KOSPI and D.H. Geda </t>
    </r>
  </si>
  <si>
    <t xml:space="preserve">ELECTRICIAN </t>
  </si>
  <si>
    <t>PLUMBER</t>
  </si>
  <si>
    <t>MIXER  &amp;VIBR. OPERATOR</t>
  </si>
  <si>
    <t>HELPER</t>
  </si>
  <si>
    <t>EQUIPMENT OPERATER I</t>
  </si>
  <si>
    <t>EQUIPMENT OPERATER II</t>
  </si>
  <si>
    <t>EQUIPMENT OPERATER III</t>
  </si>
  <si>
    <t>WELDER</t>
  </si>
  <si>
    <t>Item No</t>
  </si>
  <si>
    <t>Type of material</t>
  </si>
  <si>
    <t>Unit</t>
  </si>
  <si>
    <t>Selling price</t>
  </si>
  <si>
    <t>wa.mot</t>
  </si>
  <si>
    <t>D.labor</t>
  </si>
  <si>
    <t>Qt</t>
  </si>
  <si>
    <t>AS</t>
  </si>
  <si>
    <t>AC 180/200-1.3kg/m2</t>
  </si>
  <si>
    <t>and Aggregate size</t>
  </si>
  <si>
    <t>6-10mm-12kg/m2</t>
  </si>
  <si>
    <t>180/200</t>
  </si>
  <si>
    <t>aggrigate</t>
  </si>
  <si>
    <t>6/10mm</t>
  </si>
  <si>
    <t>ditto</t>
  </si>
  <si>
    <t>ASPHALT  AC</t>
  </si>
  <si>
    <t>25cm thick basaltic or equivalent stone hard core well rolled, consolidated and blinded with crushed stone</t>
  </si>
  <si>
    <t>9.1.01</t>
  </si>
  <si>
    <t>9.1.02</t>
  </si>
  <si>
    <t>9.1.03</t>
  </si>
  <si>
    <t>9.1.04</t>
  </si>
  <si>
    <t>9.1.05</t>
  </si>
  <si>
    <t xml:space="preserve">9.2  LIGHT POINTS  </t>
  </si>
  <si>
    <t>9.2.01</t>
  </si>
  <si>
    <t>9.5 DATA / TELE POINTS</t>
  </si>
  <si>
    <t>9.5.05</t>
  </si>
  <si>
    <t>9.5.06</t>
  </si>
  <si>
    <t>9.5.07</t>
  </si>
  <si>
    <t>9.8 CABLE WAYS &amp; RECTANGULAR CLOSED TRUNKING FOR UNDER FLOOR SYSTEM</t>
  </si>
  <si>
    <t>9.10.1</t>
  </si>
  <si>
    <t>Domestic pumps</t>
  </si>
  <si>
    <t>Provide dia. 50 mm overflow pipe to the water tank.</t>
  </si>
  <si>
    <t>1.3.1</t>
  </si>
  <si>
    <t>1.3.2</t>
  </si>
  <si>
    <t>1.3.3</t>
  </si>
  <si>
    <t>3.2</t>
  </si>
  <si>
    <t>3.3</t>
  </si>
  <si>
    <t>3.4</t>
  </si>
  <si>
    <t>4.1</t>
  </si>
  <si>
    <t>4.1.1</t>
  </si>
  <si>
    <t>4.1.2</t>
  </si>
  <si>
    <t>4.2.1</t>
  </si>
  <si>
    <t>4.2.2</t>
  </si>
  <si>
    <t>5.3</t>
  </si>
  <si>
    <t>5.4</t>
  </si>
  <si>
    <t>5.5</t>
  </si>
  <si>
    <t>5.6</t>
  </si>
  <si>
    <t>5.7</t>
  </si>
  <si>
    <t>5.8</t>
  </si>
  <si>
    <t>5.9</t>
  </si>
  <si>
    <t>5.10</t>
  </si>
  <si>
    <t>5.11</t>
  </si>
  <si>
    <t>SUMMARY CONNECTION BLOCK</t>
  </si>
  <si>
    <t>Provide dia. 25 mm drain pipe to the water tank.</t>
  </si>
  <si>
    <t>ELECTROMECHANICAL ITEMS</t>
  </si>
  <si>
    <t xml:space="preserve">Electric surface pumps </t>
  </si>
  <si>
    <t>CS100/2-1HP/0.74KW</t>
  </si>
  <si>
    <t>CS150/2-1.5HP/1.1KW</t>
  </si>
  <si>
    <t>CS200/2-2HP/1.5KW</t>
  </si>
  <si>
    <t>CM32-160B 3HP/2.2KW</t>
  </si>
  <si>
    <t>CM32-160A 4HP/3KW</t>
  </si>
  <si>
    <t>Value</t>
  </si>
  <si>
    <t>Size</t>
  </si>
  <si>
    <t>Q'ty</t>
  </si>
  <si>
    <t xml:space="preserve">Unit </t>
  </si>
  <si>
    <t xml:space="preserve"> Price</t>
  </si>
  <si>
    <t>Cost</t>
  </si>
  <si>
    <t>Equipment Type</t>
  </si>
  <si>
    <t xml:space="preserve">Capacity </t>
  </si>
  <si>
    <t>(about)</t>
  </si>
  <si>
    <t xml:space="preserve">Initial Cost </t>
  </si>
  <si>
    <t>Life Time</t>
  </si>
  <si>
    <t>10%E</t>
  </si>
  <si>
    <t>Price</t>
  </si>
  <si>
    <t>(Set)</t>
  </si>
  <si>
    <t>Life</t>
  </si>
  <si>
    <t>500mm thick basaltic or equivalent stone masonry foundation bedded in cement sand mortar (1:3).</t>
  </si>
  <si>
    <t>Total Carried to summary Birr</t>
  </si>
  <si>
    <t>SUPER -STRUCTURE</t>
  </si>
  <si>
    <t>Reinforced concrete in C-25 filled in to form work and vibrated around rod reinforcement (steel and form work m/s)</t>
  </si>
  <si>
    <t>In elevation columns</t>
  </si>
  <si>
    <t>In stair case and steps.</t>
  </si>
  <si>
    <t>In R.C parapet</t>
  </si>
  <si>
    <r>
      <t xml:space="preserve">Station Wagon, </t>
    </r>
    <r>
      <rPr>
        <sz val="6"/>
        <rFont val="Arial"/>
        <family val="2"/>
      </rPr>
      <t>LWB, 4x4, Petrol</t>
    </r>
  </si>
  <si>
    <r>
      <t xml:space="preserve">Pick up, </t>
    </r>
    <r>
      <rPr>
        <sz val="6"/>
        <rFont val="Arial"/>
        <family val="2"/>
      </rPr>
      <t xml:space="preserve">single cab, 4x4, Diesel </t>
    </r>
  </si>
  <si>
    <t>1 Ton</t>
  </si>
  <si>
    <r>
      <t xml:space="preserve">Pick up, </t>
    </r>
    <r>
      <rPr>
        <sz val="6"/>
        <rFont val="Arial"/>
        <family val="2"/>
      </rPr>
      <t xml:space="preserve">single cab, 4x4, Petrol </t>
    </r>
  </si>
  <si>
    <r>
      <t xml:space="preserve">Pick up, </t>
    </r>
    <r>
      <rPr>
        <sz val="6"/>
        <rFont val="Arial"/>
        <family val="2"/>
      </rPr>
      <t xml:space="preserve">double cab, 4x4,Diesel </t>
    </r>
  </si>
  <si>
    <t>Ditto but for SDB-4-GF-6 and consisting of:-</t>
  </si>
  <si>
    <t>Three coats plas.</t>
  </si>
  <si>
    <t xml:space="preserve">in cement sand </t>
  </si>
  <si>
    <t>mortar(1:3)</t>
  </si>
  <si>
    <t xml:space="preserve">Ditto but for </t>
  </si>
  <si>
    <t>wall tiles</t>
  </si>
  <si>
    <t xml:space="preserve">Two coats to </t>
  </si>
  <si>
    <t xml:space="preserve">receive ceramic </t>
  </si>
  <si>
    <t xml:space="preserve">Fine coat </t>
  </si>
  <si>
    <t>plastering</t>
  </si>
  <si>
    <t xml:space="preserve">Mineral </t>
  </si>
  <si>
    <t>Mineral plas.</t>
  </si>
  <si>
    <t>Diam.8 mm deformed bar</t>
  </si>
  <si>
    <t>Block Works</t>
  </si>
  <si>
    <t>250mm thick birck wall bedded in cement mortar (1:3)</t>
  </si>
  <si>
    <t>Metal Works</t>
  </si>
  <si>
    <t>OPAL GLASS LAMINAR lX60W D-250MM</t>
  </si>
  <si>
    <r>
      <t>OPAL</t>
    </r>
    <r>
      <rPr>
        <sz val="12"/>
        <rFont val="Times New Roman"/>
        <family val="1"/>
      </rPr>
      <t xml:space="preserve"> Plastic LAMINAR 1X100W</t>
    </r>
    <r>
      <rPr>
        <sz val="12"/>
        <rFont val="Arial Narrow"/>
        <family val="2"/>
      </rPr>
      <t xml:space="preserve"> 270X270MM</t>
    </r>
  </si>
  <si>
    <t>70% of the workers(when it execludes daily laborer)</t>
  </si>
  <si>
    <t>week days  with there salary ( means excluding d. laborer)</t>
  </si>
  <si>
    <t>As per Ethiopian Labor law</t>
  </si>
  <si>
    <t xml:space="preserve">     1/   Profit                : Assumed to be 10% of the Rental Rate, but not included</t>
  </si>
  <si>
    <t xml:space="preserve">      2/   Over head cost  : Assumed to be 15% of the Rental Rate, but not included </t>
  </si>
  <si>
    <t xml:space="preserve">    3/   Unit price of fuel : As of  Addis Ababa price,</t>
  </si>
  <si>
    <t>3 pcs  MCB of 50A, 3ph, Icu=15KA.</t>
  </si>
  <si>
    <t>1 pc    MCB of 40A, 3ph, Icu=15KA.</t>
  </si>
  <si>
    <t>8 pcs  MCB of 25A, 1ph, Icu=10KA.</t>
  </si>
  <si>
    <t>4 pcs  MCB of 16A, 1ph, Icu=6KA.</t>
  </si>
  <si>
    <t>6 pcs  MCB of 10A, 1ph, Icu=6KA.</t>
  </si>
  <si>
    <t xml:space="preserve">7 pcs contactor K1-K10 with 2N/O contacts of 20A/2P, </t>
  </si>
  <si>
    <t>coil 220Vac</t>
  </si>
  <si>
    <t>All fixtures which differs from that specified below is subject to the owner's approval, based on samples,catalogues and brochures presented by the Contractor.  Unit Price shall include all the necessary fixing brackets or hooks and all the necessary assistance civil works such as chiseling of walls,floors, beams and etc...</t>
  </si>
  <si>
    <t>10.1.1</t>
  </si>
  <si>
    <t xml:space="preserve">Supply and fix hand wash basins with chrome plated cold water tap made of white vitreious  china,complete with plug, chrome plated chain holder, P-smell trap with connection pipe and with all other necessary accessories. </t>
  </si>
  <si>
    <t>Size :-  500 x 400  mm</t>
  </si>
  <si>
    <t>10.1.2</t>
  </si>
  <si>
    <t>curb</t>
  </si>
  <si>
    <t xml:space="preserve">300x120cm </t>
  </si>
  <si>
    <t xml:space="preserve">precast cncrete </t>
  </si>
  <si>
    <t>Lean con.C-5</t>
  </si>
  <si>
    <t>Conductor  m</t>
  </si>
  <si>
    <t>Water t.</t>
  </si>
  <si>
    <t>aggrigate size 0-5mm</t>
  </si>
  <si>
    <t>1stApplication</t>
  </si>
  <si>
    <t>2nd Application</t>
  </si>
  <si>
    <t>3rd Application</t>
  </si>
  <si>
    <t>Total for Tripple Surf. Treatment</t>
  </si>
  <si>
    <r>
      <t>2kg/m</t>
    </r>
    <r>
      <rPr>
        <vertAlign val="superscript"/>
        <sz val="7"/>
        <rFont val="Arial"/>
        <family val="2"/>
      </rPr>
      <t>2</t>
    </r>
    <r>
      <rPr>
        <sz val="7"/>
        <rFont val="Arial"/>
        <family val="2"/>
      </rPr>
      <t xml:space="preserve"> and</t>
    </r>
  </si>
  <si>
    <r>
      <t>20mm-22kg/m</t>
    </r>
    <r>
      <rPr>
        <vertAlign val="superscript"/>
        <sz val="7"/>
        <rFont val="Arial"/>
        <family val="2"/>
      </rPr>
      <t>2</t>
    </r>
  </si>
  <si>
    <t>Water heater all</t>
  </si>
  <si>
    <t>accessaries (100lits)</t>
  </si>
  <si>
    <t>No 10120.002</t>
  </si>
  <si>
    <t>Ethio Plastic</t>
  </si>
  <si>
    <t>1 408.00</t>
  </si>
  <si>
    <t>3 300.00</t>
  </si>
  <si>
    <t>thermopastic conduit of 16mm fed by PVC conductor of 3x2.5mm2.</t>
  </si>
  <si>
    <t>9.1 DISTRIBUTION BOARDS</t>
  </si>
  <si>
    <t>9.1.1</t>
  </si>
  <si>
    <t>9.1.2</t>
  </si>
  <si>
    <t>9.1.3</t>
  </si>
  <si>
    <t>9.1.4</t>
  </si>
  <si>
    <t>9.1.5</t>
  </si>
  <si>
    <t>9.7.06</t>
  </si>
  <si>
    <t>9.7.07</t>
  </si>
  <si>
    <t>9.7.08</t>
  </si>
  <si>
    <t>Ditto but for SDB-1-3F-2 and consisting of:-</t>
  </si>
  <si>
    <t>Ditto but for SDB-1-3F-3 and consisting of:-</t>
  </si>
  <si>
    <t>plsterer</t>
  </si>
  <si>
    <t>tools</t>
  </si>
  <si>
    <t>Wast min.</t>
  </si>
  <si>
    <t>9.7.09</t>
  </si>
  <si>
    <t>9.7.10</t>
  </si>
  <si>
    <t>9.7.11</t>
  </si>
  <si>
    <t>Grvel</t>
  </si>
  <si>
    <t>Lt.</t>
  </si>
  <si>
    <t>Mac. Oper.</t>
  </si>
  <si>
    <t>Mach.</t>
  </si>
  <si>
    <t>Aggregate 01</t>
  </si>
  <si>
    <t>Aggregate 02</t>
  </si>
  <si>
    <t xml:space="preserve">Water </t>
  </si>
  <si>
    <t>Average  W.Supply</t>
  </si>
  <si>
    <t>Gravel</t>
  </si>
  <si>
    <t>Construct fence made of 200mm thick HCB wall.Price shall include excavation of foundations,cartaway,stone masonry foundation wall,gradebeams and columns  including formwork and reinforcement,copings,pointing with cement sand mortar (1:3) and other incidental works.</t>
  </si>
  <si>
    <t>Total carried to summary birr</t>
  </si>
  <si>
    <t>PARKING AND INTERNAL ROADS ASPHALT WORKS</t>
  </si>
  <si>
    <t>Bulk excavation in ordinary soil to a depth not exceeding 1500 mm.over the road bed from natural ground level.</t>
  </si>
  <si>
    <t>Cart away excavated material .</t>
  </si>
  <si>
    <t>PAINT</t>
  </si>
  <si>
    <t>Gal</t>
  </si>
  <si>
    <t>Stucco</t>
  </si>
  <si>
    <t>HOLLOW CONCRETE BLOCK</t>
  </si>
  <si>
    <t>15cm thick</t>
  </si>
  <si>
    <t>10cm thick</t>
  </si>
  <si>
    <t>Pumice</t>
  </si>
  <si>
    <t>Red ash</t>
  </si>
  <si>
    <t xml:space="preserve">FLOOR TILE </t>
  </si>
  <si>
    <t>PVC</t>
  </si>
  <si>
    <t>SKIRTING</t>
  </si>
  <si>
    <t>KG</t>
  </si>
  <si>
    <t>6mm thick clear glass</t>
  </si>
  <si>
    <t>Agrostone</t>
  </si>
  <si>
    <t>Hydrafoam</t>
  </si>
  <si>
    <t>Pc</t>
  </si>
  <si>
    <t>Stabilized soil blocks</t>
  </si>
  <si>
    <t>Shower 70x70 Complete Italy</t>
  </si>
  <si>
    <t>Water Heater  100 litter</t>
  </si>
  <si>
    <t>Water Heater  80 litter</t>
  </si>
  <si>
    <t>Water Heater  50 litter</t>
  </si>
  <si>
    <t>Soap holder</t>
  </si>
  <si>
    <t>Towel hanger</t>
  </si>
  <si>
    <t>Floor drain 10 x10cm Italy</t>
  </si>
  <si>
    <t>Floor drain 10 x10cm Local</t>
  </si>
  <si>
    <t>Floor drain  5 x5cm Italy</t>
  </si>
  <si>
    <t>Floor drain  5 x5cm Local</t>
  </si>
  <si>
    <t>Gate Valves 15mm</t>
  </si>
  <si>
    <t>Gate Valves 20mm</t>
  </si>
  <si>
    <t>Gate Valves 25mm</t>
  </si>
  <si>
    <t>Gate Valves 32mm</t>
  </si>
  <si>
    <t>Gate Valves 40mm</t>
  </si>
  <si>
    <t>Gate Valves 50mm</t>
  </si>
  <si>
    <t>Gate Valves 75mm</t>
  </si>
  <si>
    <t>Gate Valves 100mm</t>
  </si>
  <si>
    <t>Galvanized pipe 15mm</t>
  </si>
  <si>
    <t>Galvanized pipe 20mm</t>
  </si>
  <si>
    <t>Galvanized pipe 25mm</t>
  </si>
  <si>
    <t>Galvanized pipe 32mm</t>
  </si>
  <si>
    <t>Galvanized pipe 40mm</t>
  </si>
  <si>
    <t>Galvanized pipe 50mm</t>
  </si>
  <si>
    <t>Galvanized pipe 75mm</t>
  </si>
  <si>
    <t>Galvanized pipe 100mm</t>
  </si>
  <si>
    <t>Project</t>
  </si>
  <si>
    <t>Location</t>
  </si>
  <si>
    <t>Overhead &amp;Profit=</t>
  </si>
  <si>
    <t>A- Material cost</t>
  </si>
  <si>
    <t>Qty</t>
  </si>
  <si>
    <t>Rate</t>
  </si>
  <si>
    <t>Cost per unit</t>
  </si>
  <si>
    <t>UF</t>
  </si>
  <si>
    <t>out put</t>
  </si>
  <si>
    <t>cost per unit</t>
  </si>
  <si>
    <t>Type of Equip.</t>
  </si>
  <si>
    <t>Hourly Rental</t>
  </si>
  <si>
    <t>out put per Hr</t>
  </si>
  <si>
    <t>D. laboure</t>
  </si>
  <si>
    <t>Supply and fix wash down water closets made of white vitreous china with plastic seat and cover including all accessories.</t>
  </si>
  <si>
    <t>10.1.3</t>
  </si>
  <si>
    <t>Supply and fix toilet paper holder with chrome plated brass wall flanged roll with chrome plated fastening screws and other accessories.</t>
  </si>
  <si>
    <t>10.1.4</t>
  </si>
  <si>
    <r>
      <t>PVC Bend 75-45</t>
    </r>
    <r>
      <rPr>
        <vertAlign val="superscript"/>
        <sz val="10"/>
        <rFont val="Arial"/>
        <family val="2"/>
      </rPr>
      <t>o</t>
    </r>
  </si>
  <si>
    <r>
      <t>PVC Bend 110-45</t>
    </r>
    <r>
      <rPr>
        <vertAlign val="superscript"/>
        <sz val="10"/>
        <rFont val="Arial"/>
        <family val="2"/>
      </rPr>
      <t>o</t>
    </r>
  </si>
  <si>
    <r>
      <t>PVC Bend 125-45</t>
    </r>
    <r>
      <rPr>
        <vertAlign val="superscript"/>
        <sz val="10"/>
        <rFont val="Arial"/>
        <family val="2"/>
      </rPr>
      <t>o</t>
    </r>
  </si>
  <si>
    <r>
      <t>PVC Bend 160-45</t>
    </r>
    <r>
      <rPr>
        <vertAlign val="superscript"/>
        <sz val="10"/>
        <rFont val="Arial"/>
        <family val="2"/>
      </rPr>
      <t>o</t>
    </r>
  </si>
  <si>
    <t xml:space="preserve">Average 100mm </t>
  </si>
  <si>
    <t>D. laborer</t>
  </si>
  <si>
    <t>Mixer Op.</t>
  </si>
  <si>
    <t>Earthing rod diameter 16mm, 2400mm for lightning</t>
  </si>
  <si>
    <t>preventor and earthing with all necessary accessories.</t>
  </si>
  <si>
    <t>Earthing rod termination should be CADWELD.</t>
  </si>
  <si>
    <t>5.4.06</t>
  </si>
  <si>
    <t xml:space="preserve">50x50x60cms inspection pit with double brick wall and </t>
  </si>
  <si>
    <r>
      <t>MCB</t>
    </r>
    <r>
      <rPr>
        <sz val="11"/>
        <rFont val="Arial"/>
        <family val="2"/>
      </rPr>
      <t xml:space="preserve"> 1X6A B/l0KA</t>
    </r>
  </si>
  <si>
    <r>
      <t>MCB</t>
    </r>
    <r>
      <rPr>
        <sz val="10"/>
        <rFont val="Arial"/>
        <family val="2"/>
      </rPr>
      <t xml:space="preserve"> 1Xl0A B/10KA</t>
    </r>
  </si>
  <si>
    <t>MCB B 1X16A</t>
  </si>
  <si>
    <t>MCB B1X20A 10KA</t>
  </si>
  <si>
    <t>MCB B1X25A 10KA</t>
  </si>
  <si>
    <t>MCB B1X32A 10KA</t>
  </si>
  <si>
    <t>MCB B1X40A 10KA</t>
  </si>
  <si>
    <t>MCB B1 X50A 10KA</t>
  </si>
  <si>
    <t>MCB B 1X63A 10KA</t>
  </si>
  <si>
    <t xml:space="preserve">Telephone points only heavy duty rigid thermoplastic conduit </t>
  </si>
  <si>
    <t>of minimum diameter of 19mm as per Telecomunication</t>
  </si>
  <si>
    <t xml:space="preserve">Authority's specification including junction boxes with cover, </t>
  </si>
  <si>
    <t>and pulling guy wires inside conduits.</t>
  </si>
  <si>
    <t>Apply EPDM or equivalent water proofing material over the screed area as per the manufacturer's instruction.</t>
  </si>
  <si>
    <t>Supply and fix diam.100mm PVC down pipe.Price shall include fixing accessories.</t>
  </si>
  <si>
    <t>CARPENTRY  AND JOINERY</t>
  </si>
  <si>
    <t>5.7.01</t>
  </si>
  <si>
    <t>Underground PVC pipes of diameter 110mm. Price to</t>
  </si>
  <si>
    <t>include cost of excavation and backfill</t>
  </si>
  <si>
    <t>5.7.02</t>
  </si>
  <si>
    <t>Underground PVC pipes of diameter 70mm. Price to</t>
  </si>
  <si>
    <t>5.7.03</t>
  </si>
  <si>
    <t>Underground PVC pipes of diameter 40mm. Price to</t>
  </si>
  <si>
    <t>5.7.04</t>
  </si>
  <si>
    <t>Underground PVC pipes of diameter 32mm. Price to</t>
  </si>
  <si>
    <t>5.7.05</t>
  </si>
  <si>
    <t>A- Manhole 120x120x70cm removable cast iron cover</t>
  </si>
  <si>
    <t>5.7.06</t>
  </si>
  <si>
    <t>B- Manhole 60x60x70cm removable cast iron cover</t>
  </si>
  <si>
    <t>5.7.07</t>
  </si>
  <si>
    <t>C- Manhole 50x50x70cm removable cast iron cover</t>
  </si>
  <si>
    <t>5.7.08</t>
  </si>
  <si>
    <t>5.8 LIGHT POINTS</t>
  </si>
  <si>
    <t>5.8.01</t>
  </si>
  <si>
    <r>
      <t>Light points fed through PVC insulated wires of 2x2.5mm</t>
    </r>
    <r>
      <rPr>
        <vertAlign val="superscript"/>
        <sz val="10"/>
        <rFont val="Arial"/>
        <family val="2"/>
      </rPr>
      <t>2</t>
    </r>
    <r>
      <rPr>
        <sz val="10"/>
        <rFont val="Arial"/>
        <family val="2"/>
      </rPr>
      <t xml:space="preserve"> in</t>
    </r>
  </si>
  <si>
    <t>5.9 SOCKET AND POWER OUTLET POINTS</t>
  </si>
  <si>
    <t>5.9.1</t>
  </si>
  <si>
    <t>5.9.2</t>
  </si>
  <si>
    <t>5.10 SWITCHES AND SOCKET OUTLETS</t>
  </si>
  <si>
    <t>5.10.01</t>
  </si>
  <si>
    <t>5.10.02</t>
  </si>
  <si>
    <t>5.10.03</t>
  </si>
  <si>
    <t>5.10.04</t>
  </si>
  <si>
    <t xml:space="preserve">Socket outlet Gewiss eco range range flush mounted </t>
  </si>
  <si>
    <t>5.10.05</t>
  </si>
  <si>
    <t>Apartement</t>
  </si>
  <si>
    <t xml:space="preserve">Plasterer  </t>
  </si>
  <si>
    <t>Benefit Factor Calculation Break down</t>
  </si>
  <si>
    <t>Description</t>
  </si>
  <si>
    <t>Monthly income (Provisional cost)</t>
  </si>
  <si>
    <t>Working days per month</t>
  </si>
  <si>
    <t>Daily income</t>
  </si>
  <si>
    <t>Yearly income</t>
  </si>
  <si>
    <t>Working days per year</t>
  </si>
  <si>
    <t>Project Time in years</t>
  </si>
  <si>
    <t>Item</t>
  </si>
  <si>
    <t>Days/year</t>
  </si>
  <si>
    <t>Yearly Expense</t>
  </si>
  <si>
    <t>Assumptions</t>
  </si>
  <si>
    <t>Annual leave</t>
  </si>
  <si>
    <t>Sick  leave</t>
  </si>
  <si>
    <t>Medical Service</t>
  </si>
  <si>
    <t>20% of their salary for 10% of the workers</t>
  </si>
  <si>
    <t>Transport allowance</t>
  </si>
  <si>
    <t>15% of their salary</t>
  </si>
  <si>
    <t>10% of their salary</t>
  </si>
  <si>
    <t>Mourning Leave</t>
  </si>
  <si>
    <t>Holidays</t>
  </si>
  <si>
    <t>Akaki M. Industry</t>
  </si>
  <si>
    <t>with fixing accessories including A60 1x75W lamp</t>
  </si>
  <si>
    <t>or approved equivalent</t>
  </si>
  <si>
    <t>5.5.02</t>
  </si>
  <si>
    <t>Decorative outdoor light fitting, (EX-2) type Philips</t>
  </si>
  <si>
    <t xml:space="preserve">HPP 090 E27 125W lamp MAXII + GPP 091 RCC sphere </t>
  </si>
  <si>
    <t>450 clear + GPP093 louvre or approved equivalent</t>
  </si>
  <si>
    <t>5.5.03</t>
  </si>
  <si>
    <t xml:space="preserve">3.5m hot dip galvanised steel pole (EX-2) with steel bracket,  </t>
  </si>
  <si>
    <r>
      <t>flange mounted for item 5.02 including fuse box, fuse, 3x2.5mm</t>
    </r>
    <r>
      <rPr>
        <vertAlign val="superscript"/>
        <sz val="10"/>
        <rFont val="Arial"/>
        <family val="2"/>
      </rPr>
      <t xml:space="preserve">2 </t>
    </r>
  </si>
  <si>
    <t xml:space="preserve">cable from fuse box to light fitting, anchor bolt and concrete </t>
  </si>
  <si>
    <t>foundation.</t>
  </si>
  <si>
    <t>5.5.04</t>
  </si>
  <si>
    <t>Decorative outdoor light fitting, (EX-3) type Philips</t>
  </si>
  <si>
    <t xml:space="preserve">3xHPP 090 3xE27 125W lamp MAXII + 3xGPP 091 RCC sphere </t>
  </si>
  <si>
    <t>450 clear + 3xGPP093 louvre) triple clustre or approved equivalent</t>
  </si>
  <si>
    <t>5.5.05</t>
  </si>
  <si>
    <t xml:space="preserve">3.5m hot dip galvanised steel pole (EX-3) with steel bracket,  </t>
  </si>
  <si>
    <r>
      <t>flange mounted for item 5.04 including fuse box, fuse, 5x2.5mm</t>
    </r>
    <r>
      <rPr>
        <vertAlign val="superscript"/>
        <sz val="10"/>
        <rFont val="Arial"/>
        <family val="2"/>
      </rPr>
      <t xml:space="preserve">2 </t>
    </r>
  </si>
  <si>
    <t xml:space="preserve">cable from fuse boxes to light fittings, anchor bolt and concrete </t>
  </si>
  <si>
    <t>5.5.06</t>
  </si>
  <si>
    <t xml:space="preserve">Decorative outdoor light fitting, single cluster (EX-4) type </t>
  </si>
  <si>
    <t>Philips KPS 400/085/840 with 1xQL 85W/84 lamp</t>
  </si>
  <si>
    <t>5.5.07</t>
  </si>
  <si>
    <t xml:space="preserve">3.5m hot dip galvanised steel pole (EX-4) with steel bracket,  </t>
  </si>
  <si>
    <r>
      <t>flange mounted for item 5.06 including fuse box, fuse, 3x2.5mm</t>
    </r>
    <r>
      <rPr>
        <vertAlign val="superscript"/>
        <sz val="10"/>
        <rFont val="Arial"/>
        <family val="2"/>
      </rPr>
      <t xml:space="preserve">2 </t>
    </r>
  </si>
  <si>
    <t>5.6 CABLES</t>
  </si>
  <si>
    <t xml:space="preserve">XLPE insulated PVC sheathed cables rated 0.6/1KV in </t>
  </si>
  <si>
    <t>underground PVC pipes. PVC pipes measured separately</t>
  </si>
  <si>
    <t>5.6.01</t>
  </si>
  <si>
    <t>Total O. H. Contribution</t>
  </si>
  <si>
    <t>minimum diameter of 20mm as per Telecomunication Authority's</t>
  </si>
  <si>
    <t>specification including junction boxes with cover, and</t>
  </si>
  <si>
    <t>pulling guy wires inside conduits.</t>
  </si>
  <si>
    <t>7 pcs  Auto/off/manual (3-fixed positions) control switch</t>
  </si>
  <si>
    <t>1 pc     24 hour time switch with 50 hours of buck-up power</t>
  </si>
  <si>
    <t>1 pc     factory made drawing pocket, Legrand or equivalent.</t>
  </si>
  <si>
    <t>all complete with bus bar system of 400A and ample</t>
  </si>
  <si>
    <t>reserve spaces.</t>
  </si>
  <si>
    <t xml:space="preserve">Surface mounted sub-distribution board, SDB-4-1F made of steel, </t>
  </si>
  <si>
    <t xml:space="preserve">IP54 with lockable door, earthing bar, connectors and all the </t>
  </si>
  <si>
    <t>necessary accessories consisting of:-</t>
  </si>
  <si>
    <t>1 pc   main MCB of 50A, 3ph, Icu=15KA.</t>
  </si>
  <si>
    <t>9 pcs MCB of 25A, 1ph, Icu=10KA.</t>
  </si>
  <si>
    <t>1 pc   MCB of 16A, 1ph, Icu=6KA.</t>
  </si>
  <si>
    <t>all complete with bus bar system of 63A and ample</t>
  </si>
  <si>
    <t xml:space="preserve">Surface mounted sub-distribution board, SDB-4-2F made of steel, </t>
  </si>
  <si>
    <t>1 pc   main MCCB of 100A, 3ph, Icu=25KA.</t>
  </si>
  <si>
    <t>10 pcs MCB of 32A, 1ph, Icu=10KA.</t>
  </si>
  <si>
    <t>1 pc   MCB of 10A, 1ph, Icu=6KA.</t>
  </si>
  <si>
    <r>
      <t>e) Following the distributor, aggregate chipping of size 3 - 5 mm. at a rate of 8 kg/m</t>
    </r>
    <r>
      <rPr>
        <vertAlign val="superscript"/>
        <sz val="10"/>
        <rFont val="Arial"/>
        <family val="2"/>
      </rPr>
      <t>2</t>
    </r>
    <r>
      <rPr>
        <sz val="10"/>
        <rFont val="Arial"/>
        <family val="2"/>
      </rPr>
      <t xml:space="preserve"> shall be spread and repeat compaction procedure all in accordance with ETCA specification. </t>
    </r>
  </si>
  <si>
    <t>Supply and lay concrete curb stone size  30 x 120cm. jointed in cement mortar ( 1:3)  and bended on 5cm thcik  C-5 lean concrete. Price shall include 5 cm lean concrete</t>
  </si>
  <si>
    <t>Site clearing to an average depth of 200mm.</t>
  </si>
  <si>
    <t>GREEN AREA</t>
  </si>
  <si>
    <t>Two-gang 1-way.</t>
  </si>
  <si>
    <t>Three-gang 1-way.</t>
  </si>
  <si>
    <t>Four-gang 1-way.</t>
  </si>
  <si>
    <t>No</t>
  </si>
  <si>
    <t>m</t>
  </si>
  <si>
    <t>1 pc     main MCB of 63A, 3ph, Icu=15KA.</t>
  </si>
  <si>
    <t>1 pc     MCB of 40A, 3ph, Icu=15KA.</t>
  </si>
  <si>
    <t>1 pc     MCB of 16A, 3ph, Icu=10KA.</t>
  </si>
  <si>
    <t>1 pc     MCB of 25A, 3ph, Icu=10KA.</t>
  </si>
  <si>
    <t>1 pc     MCB of 16A, 1ph, Icu=6KA.</t>
  </si>
  <si>
    <t>4 pcs   MCB of 10A, 1ph, Icu=6KA.</t>
  </si>
  <si>
    <t>1 pc     contactor K1 with 2N/O contacts of 20A/2P, coil 220Vac</t>
  </si>
  <si>
    <t>1 pc     Auto/off/manual (3-fixed positions) control switch</t>
  </si>
  <si>
    <t xml:space="preserve">Flush mounted sub-distribution board, SDB-1-IF-1, IP41 with </t>
  </si>
  <si>
    <t xml:space="preserve">lockable door, earthing lead, connectors and all the </t>
  </si>
  <si>
    <t>1 pc   main MCB of 40A, 1ph, Icu=15KA.</t>
  </si>
  <si>
    <t>1 pc   MCB of 25A, 1ph, Icu=10KA.</t>
  </si>
  <si>
    <t>4 pcs MCB of 16A, 1ph, Icu=6KA.</t>
  </si>
  <si>
    <t>mounting and other necessary accessories.</t>
  </si>
  <si>
    <t>1-Disano 777 Comfort CNR FL 4x18 with 4x18W/840 lamps</t>
  </si>
  <si>
    <t>or approved eqivalent.</t>
  </si>
  <si>
    <t xml:space="preserve">2-Disano 777EM Comfort - with emergency kit CNR-E FL 4x18 </t>
  </si>
  <si>
    <t>with 4x18W/840 lamps or approved eqivalent.</t>
  </si>
  <si>
    <t xml:space="preserve">3-Disano 784 Compact CNRL FLC 2x18D with 2xG24d-2 </t>
  </si>
  <si>
    <t>compact flu. Lamps or approved eqivalent.</t>
  </si>
  <si>
    <t xml:space="preserve">4-Philips TCS 098 / 218W I C3  with 2x"TL"D 18W / 830 </t>
  </si>
  <si>
    <t>fluorescent lamps or approved eqivalent.</t>
  </si>
  <si>
    <t>6-Philips TMS 012 / 218W with 2x"TL"D 18W /54</t>
  </si>
  <si>
    <t>Average 100mm thick light weight concrete over roof slab</t>
  </si>
  <si>
    <t xml:space="preserve">30 mm thick cement  screed over light weight concrete  </t>
  </si>
  <si>
    <t>Apply EPDM or equivalent type of water proofing material  according to manufacturer's instruction with complete application.</t>
  </si>
  <si>
    <t>Sundry</t>
  </si>
  <si>
    <t>Supply and fix  2 mm thivck flat metal sheet water stopper  (DL =250 mm )</t>
  </si>
  <si>
    <t>Apply three coats of asphalt paint on lean concrete anad walls connected to ground</t>
  </si>
  <si>
    <t>Supply and fix  Dia 150 mm  GSP vent pipe (L = 1000 mm ).Price shall include vent cap.</t>
  </si>
  <si>
    <t>6.2.1</t>
  </si>
  <si>
    <t>6.2.2</t>
  </si>
  <si>
    <t>6.2.3</t>
  </si>
  <si>
    <t>6.2.4</t>
  </si>
  <si>
    <t>6.2.5</t>
  </si>
  <si>
    <t>6.2.6</t>
  </si>
  <si>
    <t>6.2.7</t>
  </si>
  <si>
    <t>6.2.8</t>
  </si>
  <si>
    <t>6.2.9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</si>
  <si>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</si>
  <si>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</si>
  <si>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</si>
  <si>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</si>
  <si>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</si>
  <si>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</si>
  <si>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</si>
  <si>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</si>
  <si>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</si>
  <si>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</si>
  <si>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</si>
  <si>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</si>
  <si>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</si>
  <si>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</si>
  <si>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</si>
  <si>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</si>
  <si>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</si>
  <si>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</si>
  <si>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</si>
  <si>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</si>
  <si>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</si>
  <si>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</si>
  <si>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all complete with bus bar system of 160A and ample</t>
  </si>
  <si>
    <t xml:space="preserve">Surface mounted sub-distribution board, SDB-4-3F made of steel, </t>
  </si>
  <si>
    <t xml:space="preserve">Surface mounted sub-distribution board, SDB-4-4F made of steel, </t>
  </si>
  <si>
    <t>1   pc   main MCB of 50A, 3ph, Icu=15KA.</t>
  </si>
  <si>
    <t>12 pcs MCB of 16A, 1ph, Icu=6KA.</t>
  </si>
  <si>
    <t xml:space="preserve">Surface mounted sub-distribution board, SDB-4-5F made of steel, </t>
  </si>
  <si>
    <t>5   pcs MCB of 32A, 1ph, Icu=10KA.</t>
  </si>
  <si>
    <t>1   pc   MCB of 10A, 1ph, Icu=6KA.</t>
  </si>
  <si>
    <t xml:space="preserve">Flush mounted sub-distribution board, SDB-4-GF-1 made of steel, </t>
  </si>
  <si>
    <t xml:space="preserve">IP43 with lockable door, earthing bar, connectors and all the </t>
  </si>
  <si>
    <t>1 pc   main MCB of 25A, 1ph, Icu=10KA.</t>
  </si>
  <si>
    <t>all complete with phase bar system of 63A and ample</t>
  </si>
  <si>
    <t>Ditto but for SDB-4-GF-2 and consisting of:-</t>
  </si>
  <si>
    <t>Ditto but for SDB-4-GF-3 and consisting of:-</t>
  </si>
  <si>
    <t>2 pcs MCB of 16A, 1ph, Icu=6KA.</t>
  </si>
  <si>
    <t>Sub-distribution board SDB-GEN with bus bars of 63A rating,surface mounted, IP54, cable lugs and other necessary accessories and consisting of</t>
  </si>
  <si>
    <t>IP43 with lockable door, earthing bar, connectors and all the necessary accessories consisting of:-</t>
  </si>
  <si>
    <t>1 pc  24 hour time switch with 50 hours of back-up power all complete with phase bar system of 63A and ample reserve spaces.</t>
  </si>
  <si>
    <t>Circular manhole diameter 50cm, depth 60cm with removable cast iron cover</t>
  </si>
  <si>
    <t>TRUNKING COVER 110 MM WIDTH</t>
  </si>
  <si>
    <t>DECORETIVE TRIMS BLOCK</t>
  </si>
  <si>
    <t xml:space="preserve">          "               "      RED</t>
  </si>
  <si>
    <t xml:space="preserve">             "                     "         GREEN</t>
  </si>
  <si>
    <t xml:space="preserve">          "               "       BLUE</t>
  </si>
  <si>
    <r>
      <t>JUNCTION</t>
    </r>
    <r>
      <rPr>
        <sz val="11"/>
        <rFont val="Times New Roman"/>
        <family val="1"/>
      </rPr>
      <t xml:space="preserve"> WITH CONNECTION</t>
    </r>
  </si>
  <si>
    <r>
      <t>JUNCTION WITH CONNECTION</t>
    </r>
    <r>
      <rPr>
        <sz val="10"/>
        <rFont val="Arial"/>
        <family val="2"/>
      </rPr>
      <t xml:space="preserve"> FOR 32X12.5MM</t>
    </r>
  </si>
  <si>
    <t>END CAP 20X12.5MM</t>
  </si>
  <si>
    <t>INTERNAL/EXTERNAL CHANGEABLE ANGLE 20X12.5MM</t>
  </si>
  <si>
    <t>CHANGEABLE FLAT ANGLE 20Xl2.5MM</t>
  </si>
  <si>
    <t>TEE 20X12.5MM</t>
  </si>
  <si>
    <t>STAPLE JOINT FOR 20X12.5MM</t>
  </si>
  <si>
    <t>JUNCTION WITH CONNECTION</t>
  </si>
  <si>
    <r>
      <t>FLAT JUNCTION</t>
    </r>
    <r>
      <rPr>
        <sz val="11"/>
        <rFont val="Arial"/>
        <family val="2"/>
      </rPr>
      <t xml:space="preserve"> FOR 75X50-100X50MM</t>
    </r>
  </si>
  <si>
    <t xml:space="preserve">     "             "               "       130X50MM</t>
  </si>
  <si>
    <t>FLATJUNONFOR75X50MM</t>
  </si>
  <si>
    <r>
      <t>END CAP</t>
    </r>
    <r>
      <rPr>
        <sz val="11"/>
        <rFont val="Times New Roman"/>
        <family val="1"/>
      </rPr>
      <t xml:space="preserve"> 32Xl0</t>
    </r>
  </si>
  <si>
    <t>CHANGEABNLE INT/EXT ANGLE 32X12.5MM</t>
  </si>
  <si>
    <t>CHANGEABNLE FLAT ANGLE 32X12.5MM</t>
  </si>
  <si>
    <t>TEE 32Xl0</t>
  </si>
  <si>
    <t>STAPLE JOINT FOR 32X12.5</t>
  </si>
  <si>
    <t>STAPLE FOR 32X12.5</t>
  </si>
  <si>
    <t>STAPLE JOINT FOR 40X20CM</t>
  </si>
  <si>
    <t>END CAP 32X12.5</t>
  </si>
  <si>
    <r>
      <t>CHANGEABlE</t>
    </r>
    <r>
      <rPr>
        <sz val="11"/>
        <rFont val="Times New Roman"/>
        <family val="1"/>
      </rPr>
      <t xml:space="preserve"> INT/EXT</t>
    </r>
    <r>
      <rPr>
        <sz val="10"/>
        <rFont val="Arial"/>
        <family val="2"/>
      </rPr>
      <t xml:space="preserve"> ANGLE 32X12.5</t>
    </r>
  </si>
  <si>
    <t>TEE FOR 32X12.5</t>
  </si>
  <si>
    <t>END CAP FOR SIZE 40X20MM</t>
  </si>
  <si>
    <t>INTERNAL EXTERNAL ANGLE FOR 40X20MM</t>
  </si>
  <si>
    <t>FLAT ANGLE FOR 40X20MM</t>
  </si>
  <si>
    <t>TRUNKING 40X20 TEE</t>
  </si>
  <si>
    <t>END CAP FOR SIZE 16X16MM</t>
  </si>
  <si>
    <t>CHANGEABLE INTERNAL ANGLE FOR 60X16MM</t>
  </si>
  <si>
    <t xml:space="preserve">    "     EXTERNAL ANGLE FOR 60X16MM</t>
  </si>
  <si>
    <t xml:space="preserve">     "       FLAT ANGLE FOR 60X16MM</t>
  </si>
  <si>
    <r>
      <t>END CAP FOR TRUNKING 60X34</t>
    </r>
    <r>
      <rPr>
        <sz val="12"/>
        <rFont val="Arial"/>
        <family val="2"/>
      </rPr>
      <t xml:space="preserve"> +</t>
    </r>
    <r>
      <rPr>
        <sz val="10"/>
        <rFont val="Arial"/>
        <family val="2"/>
      </rPr>
      <t xml:space="preserve"> 60X50MM</t>
    </r>
  </si>
  <si>
    <t>STAPLE JOINT FOR 60X16MM</t>
  </si>
  <si>
    <t>END CAP FOR 60X20MM &amp; 75X20MM</t>
  </si>
  <si>
    <t>CHANGEABLE INTERNAL ANGLE FOR 75X20MM</t>
  </si>
  <si>
    <t>STAPLE JOINT FOR 75X20MM</t>
  </si>
  <si>
    <t>CENTER POINT BOX FOR TRUNKING</t>
  </si>
  <si>
    <t>CHANGEABLE INTERNAL ANGLE FOR 75X70MM</t>
  </si>
  <si>
    <t xml:space="preserve">2-Medium duty corrugated PVC flexible pipes, with all necessary </t>
  </si>
  <si>
    <t>3-Rectangular closed trunkings for under floor system (75x30mm).</t>
  </si>
  <si>
    <t>4-Rectangular closed trunkings for under floor system 3(75x30mm).</t>
  </si>
  <si>
    <t>fed by PVC conductor of 3x2.5mm2.</t>
  </si>
  <si>
    <t>Note: all light fittings should have appropriate electric gear,mounting and other necessary accessories.</t>
  </si>
  <si>
    <t>8 contacts complete with all necessary accessories for floor boxes.</t>
  </si>
  <si>
    <t>Ditto but for SDB-4-2F-1 and consisting of:-</t>
  </si>
  <si>
    <t>1 pc   main MCB of 32A, 1ph, Icu=10KA.</t>
  </si>
  <si>
    <t>Ditto but for SDB-4-2F-2 and consisting of:-</t>
  </si>
  <si>
    <t>Ditto but for SDB-4-2F-3 and consisting of:-</t>
  </si>
  <si>
    <t>1 pc   main MCCB of 320A, 3ph, Icu=50KA.</t>
  </si>
  <si>
    <t>2 pcs MCCB of 100A, 3ph, Icu=25KA.</t>
  </si>
  <si>
    <r>
      <t xml:space="preserve">Price to include </t>
    </r>
    <r>
      <rPr>
        <b/>
        <sz val="10"/>
        <rFont val="Arial"/>
        <family val="2"/>
      </rPr>
      <t>LINEAR JOINTS, END CAPS, FLAT CURVE 45</t>
    </r>
    <r>
      <rPr>
        <b/>
        <vertAlign val="superscript"/>
        <sz val="10"/>
        <rFont val="Arial"/>
        <family val="2"/>
      </rPr>
      <t>0</t>
    </r>
    <r>
      <rPr>
        <b/>
        <sz val="10"/>
        <rFont val="Arial"/>
        <family val="2"/>
      </rPr>
      <t>,</t>
    </r>
  </si>
  <si>
    <t>VERTICAL CURVES, JUNCTION BOXES, SIDE ADAPTERS FOR</t>
  </si>
  <si>
    <t xml:space="preserve">CORRUGATED FLEXIBLE PIPES, AND ALL NECESSARY </t>
  </si>
  <si>
    <t>ACCESSORIES.</t>
  </si>
  <si>
    <t xml:space="preserve">Flush mounted sub-distribution board, SDB-SEC-1 made of steel, </t>
  </si>
  <si>
    <t>1 pc   MCB of 25A/1P, Icu=15KA</t>
  </si>
  <si>
    <t>2 pc   MCB of 10A/1P, Icu=10KA</t>
  </si>
  <si>
    <t>1 pc  contactor K1 with 2N/O contacts of 20A/2P,</t>
  </si>
  <si>
    <t>1 pc  Auto/off/manual (3-fixed positions) control switch</t>
  </si>
  <si>
    <r>
      <t>3x4mm</t>
    </r>
    <r>
      <rPr>
        <vertAlign val="superscript"/>
        <sz val="10"/>
        <rFont val="Arial"/>
        <family val="2"/>
      </rPr>
      <t>2</t>
    </r>
    <r>
      <rPr>
        <sz val="10"/>
        <rFont val="Arial"/>
        <family val="2"/>
      </rPr>
      <t xml:space="preserve"> feeders cable from SDB-SEC-2 to (EX-4) lights</t>
    </r>
  </si>
  <si>
    <t>5.7 CABLE WAYS</t>
  </si>
  <si>
    <t xml:space="preserve"> D10 size  1000 x 3100mm </t>
  </si>
  <si>
    <t xml:space="preserve"> WD3 size 3150 x 3100mm</t>
  </si>
  <si>
    <t xml:space="preserve"> WD4 size 6850 x 3100mm</t>
  </si>
  <si>
    <t xml:space="preserve"> WD7 size 6840 x 3100mm</t>
  </si>
  <si>
    <t xml:space="preserve"> WD9 size 4600x3100mm</t>
  </si>
  <si>
    <t xml:space="preserve">   WD14  size 5850 x 3100mm</t>
  </si>
  <si>
    <t xml:space="preserve">   WD15  size 2500 x 3100mm</t>
  </si>
  <si>
    <t xml:space="preserve">   WD16  size 11200 x 3100mm</t>
  </si>
  <si>
    <t xml:space="preserve">   WD20  size 6850 x 3100mm</t>
  </si>
  <si>
    <t xml:space="preserve">   WD21  size 4500 x 3100mm</t>
  </si>
  <si>
    <t xml:space="preserve">   WD22  size 3150 x 3100mm</t>
  </si>
  <si>
    <t>W3  size2470 x3100 mm</t>
  </si>
  <si>
    <t>W4  size5700 x3100mm</t>
  </si>
  <si>
    <t>W6  size 1800 x 2200mm</t>
  </si>
  <si>
    <t>W7  size 6600 x 2200mm</t>
  </si>
  <si>
    <t>W8  size 1000 x 1000mm</t>
  </si>
  <si>
    <t>W24 size 4000 x 2200mm</t>
  </si>
  <si>
    <t>W25 size 2960 x 2200mm</t>
  </si>
  <si>
    <t>W36 size 2150x 1000mm</t>
  </si>
  <si>
    <t>GUARD HOUSE</t>
  </si>
  <si>
    <t>Single Pole Switch)</t>
  </si>
  <si>
    <t>MINI TRUNKING W/CENTRAL PARTITION 20X12.5 MM</t>
  </si>
  <si>
    <t>MCCB 3X1250A DPX-1250 50KA</t>
  </si>
  <si>
    <t>16 990.00</t>
  </si>
  <si>
    <t>MCCB 3X1600A</t>
  </si>
  <si>
    <t>23 547.00</t>
  </si>
  <si>
    <t>MCCB 4X63A 25KA</t>
  </si>
  <si>
    <t>2 592.00</t>
  </si>
  <si>
    <t>MCCB 4X100A 25KA</t>
  </si>
  <si>
    <t>MCCB 4X125 25KA</t>
  </si>
  <si>
    <t>2 964.00</t>
  </si>
  <si>
    <r>
      <t>FIXING</t>
    </r>
    <r>
      <rPr>
        <sz val="9"/>
        <rFont val="Arial"/>
        <family val="2"/>
      </rPr>
      <t xml:space="preserve"> PLATE</t>
    </r>
    <r>
      <rPr>
        <sz val="12"/>
        <rFont val="Times New Roman"/>
        <family val="1"/>
      </rPr>
      <t xml:space="preserve"> ON</t>
    </r>
    <r>
      <rPr>
        <sz val="11"/>
        <rFont val="Arial"/>
        <family val="2"/>
      </rPr>
      <t xml:space="preserve"> DINRAIL FOR DPX ONLY</t>
    </r>
  </si>
  <si>
    <t>ADAAPTR ON DIN -RAIL MOUNTING SUPPORT FOR DPX-125</t>
  </si>
  <si>
    <r>
      <t>CAGE</t>
    </r>
    <r>
      <rPr>
        <sz val="10"/>
        <rFont val="Arial"/>
        <family val="2"/>
      </rPr>
      <t xml:space="preserve"> TERMINAL FOR 95MM2</t>
    </r>
    <r>
      <rPr>
        <sz val="9"/>
        <rFont val="Times New Roman"/>
        <family val="1"/>
      </rPr>
      <t xml:space="preserve"> FOR16OA</t>
    </r>
  </si>
  <si>
    <t>lSET OF 4CAGE TERMINAL FOR 150 MM2 FOR 2nA</t>
  </si>
  <si>
    <t>lSET OF 4 TERMINAL FOR 300 MM2 FOR 320/400A'"</t>
  </si>
  <si>
    <t>lTERMINAL FOR 2 CABLES OF 24 MM2 FOR 500/630/800A</t>
  </si>
  <si>
    <t>1 TERMINAL FOR4 CABLES OF 240 MM2 FOR 500-1250A</t>
  </si>
  <si>
    <t>REAR TERMINAL FOR 4P DPX 1600A</t>
  </si>
  <si>
    <t>3 372.00</t>
  </si>
  <si>
    <t>C-15</t>
  </si>
  <si>
    <t>mason ii</t>
  </si>
  <si>
    <t>WASTE, VENT AND RAIN WATER PIPES AND</t>
  </si>
  <si>
    <t>ACCESSORIES</t>
  </si>
  <si>
    <t>Flush mounted tumbler switch box, TSB-MPH made of steel, IP41 with all the necessary accessories consisting of:- 8 pcs of 20A, 1ph, 250V~ with indicator lamp.</t>
  </si>
  <si>
    <t>It/</t>
  </si>
  <si>
    <t>Equipment</t>
  </si>
  <si>
    <t xml:space="preserve">Salvage </t>
  </si>
  <si>
    <t>Tyre</t>
  </si>
  <si>
    <r>
      <t>D</t>
    </r>
    <r>
      <rPr>
        <b/>
        <sz val="6"/>
        <rFont val="Arial"/>
        <family val="2"/>
      </rPr>
      <t>epreciation</t>
    </r>
  </si>
  <si>
    <t xml:space="preserve">Interest </t>
  </si>
  <si>
    <t>Insurance</t>
  </si>
  <si>
    <t>Repair Cost</t>
  </si>
  <si>
    <t>Fuel Consumption</t>
  </si>
  <si>
    <t xml:space="preserve">Service Cost </t>
  </si>
  <si>
    <t xml:space="preserve">Tyre </t>
  </si>
  <si>
    <t xml:space="preserve"> Owning </t>
  </si>
  <si>
    <t xml:space="preserve"> Operating</t>
  </si>
  <si>
    <t xml:space="preserve"> Rental</t>
  </si>
  <si>
    <t xml:space="preserve">Rated </t>
  </si>
  <si>
    <t>HP</t>
  </si>
  <si>
    <t>ALU-ADDIS plc</t>
  </si>
  <si>
    <t xml:space="preserve"> WD5 size 1840 x 3100mm</t>
  </si>
  <si>
    <t>TOTAL</t>
  </si>
  <si>
    <t>5.1</t>
  </si>
  <si>
    <t>5.2</t>
  </si>
  <si>
    <t>B</t>
  </si>
  <si>
    <t>Supply and fix 4mm thick clear glass. Price shall include fixing accessories.</t>
  </si>
  <si>
    <t xml:space="preserve">Ditto but 5mm thick </t>
  </si>
  <si>
    <t xml:space="preserve"> PAINTING</t>
  </si>
  <si>
    <t xml:space="preserve">        "           "      80A 22Xs8MM HCR 1YPE GL</t>
  </si>
  <si>
    <r>
      <t>HRC CARTRIDGE</t>
    </r>
    <r>
      <rPr>
        <sz val="10"/>
        <rFont val="Arial Narrow"/>
        <family val="2"/>
      </rPr>
      <t xml:space="preserve"> FUSE</t>
    </r>
    <r>
      <rPr>
        <sz val="10"/>
        <rFont val="Times New Roman"/>
        <family val="1"/>
      </rPr>
      <t xml:space="preserve"> 22X58 12sA</t>
    </r>
  </si>
  <si>
    <t>HRC FUSE BASE SIZE 00 3PH</t>
  </si>
  <si>
    <t xml:space="preserve">   "   BLADE TYPE FUSE SIZE 00 80A</t>
  </si>
  <si>
    <t xml:space="preserve">    "           "             "      100A SIZE 00</t>
  </si>
  <si>
    <t>HRC FUSE BASE SIZE 03 PH</t>
  </si>
  <si>
    <t>HRC FUSE 100 SIZE 0</t>
  </si>
  <si>
    <t>HRC FUSE BASE SIZE 13PH</t>
  </si>
  <si>
    <t>HRC FUSE 2s0A SIZE 1</t>
  </si>
  <si>
    <t xml:space="preserve">     "          "      BASE 4 BLADE 1YPE SIZE 2 400N3P</t>
  </si>
  <si>
    <t>HRC FUSE BASE SIZE 3 SINGLE PH</t>
  </si>
  <si>
    <t>HRC FUSE sOOA SIZE 3</t>
  </si>
  <si>
    <t>HRC FUSE 800A SIZE 4</t>
  </si>
  <si>
    <t>HRC FUSE</t>
  </si>
  <si>
    <r>
      <t>FUSE CARRIER FOR SIZ</t>
    </r>
    <r>
      <rPr>
        <sz val="10"/>
        <rFont val="Courier New"/>
        <family val="3"/>
      </rPr>
      <t xml:space="preserve"> 14X51</t>
    </r>
    <r>
      <rPr>
        <sz val="10"/>
        <rFont val="Times New Roman"/>
        <family val="1"/>
      </rPr>
      <t xml:space="preserve"> SINGLE POLE</t>
    </r>
  </si>
  <si>
    <t xml:space="preserve">      "             "           "     "    14Xsl 3-POLE</t>
  </si>
  <si>
    <t>FUSE CARRIER 3PH/3P 58 UPTO 12sA</t>
  </si>
  <si>
    <t>VISTOP ISOLATING SWITCH 63A!3PH SIZE HANDLAE</t>
  </si>
  <si>
    <t xml:space="preserve">      "                "                   "        100N3PH SIDE HANDLAE</t>
  </si>
  <si>
    <t xml:space="preserve">      "                "                   "        160N3PH FRONT HAND</t>
  </si>
  <si>
    <t>1 150.00</t>
  </si>
  <si>
    <t>Dia .20 mm deformed bar ladder  (DL=1200 mm ) Price shall include  all incedental works</t>
  </si>
  <si>
    <t>Finishing</t>
  </si>
  <si>
    <t>Ditto but for SDB-1-IF-3 and consisting of:-</t>
  </si>
  <si>
    <t>6 pcs MCB of 16A, 1ph, Icu=6KA.</t>
  </si>
  <si>
    <t>Ditto but for SDB-1-2F-1 and consisting of:-</t>
  </si>
  <si>
    <t>Ditto but for SDB-1-2F-2 and consisting of:-</t>
  </si>
  <si>
    <t>Ditto but for SDB-1-2F-3 and consisting of:-</t>
  </si>
  <si>
    <t>Ditto but for SDB-1-3F-1 and consisting of:-</t>
  </si>
  <si>
    <t>Ditto but for SDB-1-4F-1 and consisting of:-</t>
  </si>
  <si>
    <t>Ditto but for SDB-1-4F-2 and consisting of:-</t>
  </si>
  <si>
    <t>Ditto but for SDB-1-4F-3 and consisting of:-</t>
  </si>
  <si>
    <t>Ditto but for SDB-1-5F-1 and consisting of:-</t>
  </si>
  <si>
    <t>Ditto but for SDB-1-5F-2 and consisting of:-</t>
  </si>
  <si>
    <t>Ditto but for SDB-1-5F-3 and consisting of:-</t>
  </si>
  <si>
    <t>up to 150 cm depth</t>
  </si>
  <si>
    <t>Ditto but for SDB-4-GF-4 and consisting of:-</t>
  </si>
  <si>
    <t>Ditto but for SDB-4-GF-5 and consisting of:-</t>
  </si>
  <si>
    <t>9.9  EQUIPMENT</t>
  </si>
  <si>
    <t>9.9.1</t>
  </si>
  <si>
    <r>
      <t>3x10mm</t>
    </r>
    <r>
      <rPr>
        <vertAlign val="superscript"/>
        <sz val="10"/>
        <rFont val="Arial"/>
        <family val="2"/>
      </rPr>
      <t>2</t>
    </r>
    <r>
      <rPr>
        <sz val="10"/>
        <rFont val="Arial"/>
        <family val="2"/>
      </rPr>
      <t xml:space="preserve"> from SDB-4-3F to SDB-4-3F-4</t>
    </r>
  </si>
  <si>
    <r>
      <t>3x10mm</t>
    </r>
    <r>
      <rPr>
        <vertAlign val="superscript"/>
        <sz val="10"/>
        <rFont val="Arial"/>
        <family val="2"/>
      </rPr>
      <t>2</t>
    </r>
    <r>
      <rPr>
        <sz val="10"/>
        <rFont val="Arial"/>
        <family val="2"/>
      </rPr>
      <t xml:space="preserve"> from SDB-4-3F to SDB-4-3F-5</t>
    </r>
  </si>
  <si>
    <r>
      <t>3x10mm</t>
    </r>
    <r>
      <rPr>
        <vertAlign val="superscript"/>
        <sz val="10"/>
        <rFont val="Arial"/>
        <family val="2"/>
      </rPr>
      <t>2</t>
    </r>
    <r>
      <rPr>
        <sz val="10"/>
        <rFont val="Arial"/>
        <family val="2"/>
      </rPr>
      <t xml:space="preserve"> from SDB-4-3F to SDB-4-3F-6</t>
    </r>
  </si>
  <si>
    <r>
      <t>3x10mm</t>
    </r>
    <r>
      <rPr>
        <vertAlign val="superscript"/>
        <sz val="10"/>
        <rFont val="Arial"/>
        <family val="2"/>
      </rPr>
      <t>2</t>
    </r>
    <r>
      <rPr>
        <sz val="10"/>
        <rFont val="Arial"/>
        <family val="2"/>
      </rPr>
      <t xml:space="preserve"> from SDB-4-3F to SDB-4-3F-7</t>
    </r>
  </si>
  <si>
    <r>
      <t>3x10mm</t>
    </r>
    <r>
      <rPr>
        <vertAlign val="superscript"/>
        <sz val="10"/>
        <rFont val="Arial"/>
        <family val="2"/>
      </rPr>
      <t>2</t>
    </r>
    <r>
      <rPr>
        <sz val="10"/>
        <rFont val="Arial"/>
        <family val="2"/>
      </rPr>
      <t xml:space="preserve"> from SDB-4-3F to SDB-4-3F-8</t>
    </r>
  </si>
  <si>
    <r>
      <t>3x10mm</t>
    </r>
    <r>
      <rPr>
        <vertAlign val="superscript"/>
        <sz val="10"/>
        <rFont val="Arial"/>
        <family val="2"/>
      </rPr>
      <t>2</t>
    </r>
    <r>
      <rPr>
        <sz val="10"/>
        <rFont val="Arial"/>
        <family val="2"/>
      </rPr>
      <t xml:space="preserve"> from SDB-4-3F to SDB-4-3F-9</t>
    </r>
  </si>
  <si>
    <r>
      <t>3x10mm</t>
    </r>
    <r>
      <rPr>
        <vertAlign val="superscript"/>
        <sz val="10"/>
        <rFont val="Arial"/>
        <family val="2"/>
      </rPr>
      <t>2</t>
    </r>
    <r>
      <rPr>
        <sz val="10"/>
        <rFont val="Arial"/>
        <family val="2"/>
      </rPr>
      <t xml:space="preserve"> from SDB-4-3F to SDB-4-3F-10</t>
    </r>
  </si>
  <si>
    <r>
      <t>3x10mm</t>
    </r>
    <r>
      <rPr>
        <vertAlign val="superscript"/>
        <sz val="10"/>
        <rFont val="Arial"/>
        <family val="2"/>
      </rPr>
      <t>2</t>
    </r>
    <r>
      <rPr>
        <sz val="10"/>
        <rFont val="Arial"/>
        <family val="2"/>
      </rPr>
      <t xml:space="preserve"> from SDB-4-5F to SDB-4-5F-1</t>
    </r>
  </si>
  <si>
    <r>
      <t>3x10mm</t>
    </r>
    <r>
      <rPr>
        <vertAlign val="superscript"/>
        <sz val="10"/>
        <rFont val="Arial"/>
        <family val="2"/>
      </rPr>
      <t>2</t>
    </r>
    <r>
      <rPr>
        <sz val="10"/>
        <rFont val="Arial"/>
        <family val="2"/>
      </rPr>
      <t xml:space="preserve"> from SDB-4-5F to SDB-4-5F-2</t>
    </r>
  </si>
  <si>
    <r>
      <t>3x10mm</t>
    </r>
    <r>
      <rPr>
        <vertAlign val="superscript"/>
        <sz val="10"/>
        <rFont val="Arial"/>
        <family val="2"/>
      </rPr>
      <t>2</t>
    </r>
    <r>
      <rPr>
        <sz val="10"/>
        <rFont val="Arial"/>
        <family val="2"/>
      </rPr>
      <t xml:space="preserve"> from SDB-4-5F to SDB-4-5F-3</t>
    </r>
  </si>
  <si>
    <r>
      <t>3x10mm</t>
    </r>
    <r>
      <rPr>
        <vertAlign val="superscript"/>
        <sz val="10"/>
        <rFont val="Arial"/>
        <family val="2"/>
      </rPr>
      <t>2</t>
    </r>
    <r>
      <rPr>
        <sz val="10"/>
        <rFont val="Arial"/>
        <family val="2"/>
      </rPr>
      <t xml:space="preserve"> from SDB-4-5F to SDB-4-5F-4</t>
    </r>
  </si>
  <si>
    <r>
      <t>3x10mm</t>
    </r>
    <r>
      <rPr>
        <vertAlign val="superscript"/>
        <sz val="10"/>
        <rFont val="Arial"/>
        <family val="2"/>
      </rPr>
      <t>2</t>
    </r>
    <r>
      <rPr>
        <sz val="10"/>
        <rFont val="Arial"/>
        <family val="2"/>
      </rPr>
      <t xml:space="preserve"> from SDB-4-5F to SDB-4-5F-5</t>
    </r>
  </si>
  <si>
    <t>PVC pipes of diameter 50mm for feeder cables</t>
  </si>
  <si>
    <t>PVC pipes of diameter 40mm for feeder cables</t>
  </si>
  <si>
    <t>PVC pipes of diameter 32mm for feeder cables</t>
  </si>
  <si>
    <t xml:space="preserve">Note: use 3x32mm conduit between Tele terminal boxes and </t>
  </si>
  <si>
    <t>tele terminal box  to floor box.</t>
  </si>
  <si>
    <t xml:space="preserve">Hand drier points in heavy duty rigid thermopastic conduit of 16mm </t>
  </si>
  <si>
    <t>MOLDED CASE CIRCUIT BREAKER 3X250A 36KA</t>
  </si>
  <si>
    <t>MCCB 4X250A 36KA</t>
  </si>
  <si>
    <t>7 820.00</t>
  </si>
  <si>
    <t>MCCB 3X250A 70KA</t>
  </si>
  <si>
    <t>2 980.00</t>
  </si>
  <si>
    <t>MOLDED CASE CIRCUIT BREAKER 3X320A 36KA</t>
  </si>
  <si>
    <t>4 320.00</t>
  </si>
  <si>
    <t xml:space="preserve">Diameter 25mm </t>
  </si>
  <si>
    <t xml:space="preserve">Diameter20mm </t>
  </si>
  <si>
    <t xml:space="preserve">Diameter 15mm </t>
  </si>
  <si>
    <t xml:space="preserve">Diameter 32mm </t>
  </si>
  <si>
    <t>Mortar Chain,</t>
  </si>
  <si>
    <t>holder &amp; plug</t>
  </si>
  <si>
    <t xml:space="preserve">Two-gang </t>
  </si>
  <si>
    <t>two way Switch</t>
  </si>
  <si>
    <t>Two-gang</t>
  </si>
  <si>
    <t>single Switch</t>
  </si>
  <si>
    <t>Indicater (12)</t>
  </si>
  <si>
    <t xml:space="preserve">Medium duty PVC corrugated pipes of diameter 32mm for feeder </t>
  </si>
  <si>
    <t>Supply and fix 40mm thick internal flush type wooden doors in hard wood frame with wooden moldings all round, both sides covered with 4mm thick mahagony plywood.Price shall include approved type hinges,locks,universal under coat,three coats of polyurethane varnish,necessary accessories and incidental works.</t>
  </si>
  <si>
    <t>pc</t>
  </si>
  <si>
    <t>NOTE: Use factory made stainless steel rectangular closed</t>
  </si>
  <si>
    <t>trunkings for under floor system. All made by ARNOCANALI,</t>
  </si>
  <si>
    <t>OBO BETTERMANN or approved equivalent.</t>
  </si>
  <si>
    <t>1-Rectangular closed trunkings for under floor system 2(75x30mm).</t>
  </si>
  <si>
    <t>Item No.</t>
  </si>
  <si>
    <t>Daily Rate</t>
  </si>
  <si>
    <t>PLASTERER</t>
  </si>
  <si>
    <t>CHISELER</t>
  </si>
  <si>
    <t>PAINTER</t>
  </si>
  <si>
    <t>GANG CHIEF</t>
  </si>
  <si>
    <t xml:space="preserve">Grader op. </t>
  </si>
  <si>
    <t>Dozer op.</t>
  </si>
  <si>
    <t xml:space="preserve">Helpers </t>
  </si>
  <si>
    <t>Grader Op.</t>
  </si>
  <si>
    <t>Grad</t>
  </si>
  <si>
    <t xml:space="preserve">Tele terminal boxes of 100x150x100mm as per </t>
  </si>
  <si>
    <t>5-Philips TMS 012 / 236W with 2x"TL"D 18W /54</t>
  </si>
  <si>
    <t>15-Massive 73799 / 05 / 11, 5xE14 with 5x40W lamp</t>
  </si>
  <si>
    <t>16-Massive 80799 / 01 / 11, 1xE14 with 5x40W lamp</t>
  </si>
  <si>
    <t>17-Lombardo LB59421 with E27 1x60W lamp or approved equivalent.</t>
  </si>
  <si>
    <r>
      <t>5x2.5mm</t>
    </r>
    <r>
      <rPr>
        <vertAlign val="superscript"/>
        <sz val="10"/>
        <rFont val="Arial"/>
        <family val="2"/>
      </rPr>
      <t>2</t>
    </r>
    <r>
      <rPr>
        <sz val="10"/>
        <rFont val="Arial"/>
        <family val="2"/>
      </rPr>
      <t xml:space="preserve"> (3x1000) BLACK H05VV-F</t>
    </r>
  </si>
  <si>
    <r>
      <t>5x2.5mm</t>
    </r>
    <r>
      <rPr>
        <vertAlign val="superscript"/>
        <sz val="10"/>
        <rFont val="Arial"/>
        <family val="2"/>
      </rPr>
      <t>2</t>
    </r>
    <r>
      <rPr>
        <sz val="10"/>
        <rFont val="Arial"/>
        <family val="2"/>
      </rPr>
      <t xml:space="preserve"> (20x100) BLACK H05VV-F</t>
    </r>
  </si>
  <si>
    <r>
      <t>5x4mm</t>
    </r>
    <r>
      <rPr>
        <vertAlign val="superscript"/>
        <sz val="10"/>
        <rFont val="Arial"/>
        <family val="2"/>
      </rPr>
      <t>2</t>
    </r>
    <r>
      <rPr>
        <sz val="10"/>
        <rFont val="Arial"/>
        <family val="2"/>
      </rPr>
      <t xml:space="preserve"> (4x1000) BLACK H05VV-F</t>
    </r>
  </si>
  <si>
    <r>
      <t>5x4mm</t>
    </r>
    <r>
      <rPr>
        <vertAlign val="superscript"/>
        <sz val="10"/>
        <rFont val="Arial"/>
        <family val="2"/>
      </rPr>
      <t>2</t>
    </r>
    <r>
      <rPr>
        <sz val="10"/>
        <rFont val="Arial"/>
        <family val="2"/>
      </rPr>
      <t xml:space="preserve"> (10x100) BLACK H05VV-F</t>
    </r>
  </si>
  <si>
    <r>
      <t>5x6mm</t>
    </r>
    <r>
      <rPr>
        <vertAlign val="superscript"/>
        <sz val="10"/>
        <rFont val="Arial"/>
        <family val="2"/>
      </rPr>
      <t>2</t>
    </r>
    <r>
      <rPr>
        <sz val="10"/>
        <rFont val="Arial"/>
        <family val="2"/>
      </rPr>
      <t xml:space="preserve"> (3x100) BLACK H05VV-F</t>
    </r>
  </si>
  <si>
    <r>
      <t>5x6mm</t>
    </r>
    <r>
      <rPr>
        <vertAlign val="superscript"/>
        <sz val="10"/>
        <rFont val="Arial"/>
        <family val="2"/>
      </rPr>
      <t>2</t>
    </r>
    <r>
      <rPr>
        <sz val="10"/>
        <rFont val="Arial"/>
        <family val="2"/>
      </rPr>
      <t xml:space="preserve"> (10x100) BLACK H05VV-F</t>
    </r>
  </si>
  <si>
    <r>
      <t>3x10mm</t>
    </r>
    <r>
      <rPr>
        <vertAlign val="superscript"/>
        <sz val="10"/>
        <rFont val="Arial"/>
        <family val="2"/>
      </rPr>
      <t xml:space="preserve">2 </t>
    </r>
    <r>
      <rPr>
        <sz val="10"/>
        <rFont val="Arial"/>
        <family val="2"/>
      </rPr>
      <t xml:space="preserve">(1x1000)  STANDARD </t>
    </r>
  </si>
  <si>
    <r>
      <t>3x16mm</t>
    </r>
    <r>
      <rPr>
        <vertAlign val="superscript"/>
        <sz val="10"/>
        <rFont val="Arial"/>
        <family val="2"/>
      </rPr>
      <t xml:space="preserve">2 </t>
    </r>
    <r>
      <rPr>
        <sz val="10"/>
        <rFont val="Arial"/>
        <family val="2"/>
      </rPr>
      <t xml:space="preserve">(1x1000)  STANDARD </t>
    </r>
  </si>
  <si>
    <t>removable cast iron cover.</t>
  </si>
  <si>
    <t>5.5 EXTERIOR LIGHTING</t>
  </si>
  <si>
    <r>
      <t>c) After compaction, a second application of asphalt at a rate of 1.3 kg/m2 shall be applied as in step (a) above.d) Following the distributor aggregate chipping of size 5 - 12 mm at the rate of 10 kg/m</t>
    </r>
    <r>
      <rPr>
        <vertAlign val="superscript"/>
        <sz val="10"/>
        <rFont val="Arial"/>
        <family val="2"/>
      </rPr>
      <t>2</t>
    </r>
    <r>
      <rPr>
        <sz val="10"/>
        <rFont val="Arial"/>
        <family val="2"/>
      </rPr>
      <t xml:space="preserve"> shall be spread.</t>
    </r>
  </si>
  <si>
    <r>
      <t>d) After compaction a final cost application of asphalt at a rate of 1 kg/m</t>
    </r>
    <r>
      <rPr>
        <vertAlign val="superscript"/>
        <sz val="10"/>
        <rFont val="Arial"/>
        <family val="2"/>
      </rPr>
      <t>2</t>
    </r>
    <r>
      <rPr>
        <sz val="10"/>
        <rFont val="Arial"/>
        <family val="2"/>
      </rPr>
      <t xml:space="preserve"> shall be applied as in step (a) above.</t>
    </r>
  </si>
  <si>
    <t>FORMAN ( Mason or Carpenter)</t>
  </si>
  <si>
    <t>EGA SHEET ROOF COVER</t>
  </si>
  <si>
    <t>EGA 300 0.30mm. thick 80cm wide</t>
  </si>
  <si>
    <t>EGA 300 0.35mm. thick 80cm wide</t>
  </si>
  <si>
    <t>EGA 300 0.40mm. thick 80cm wide</t>
  </si>
  <si>
    <t>EGA 300 0.50mm. thick 80cm wide</t>
  </si>
  <si>
    <t>EGA 300 0.60mm. thick 80cm wide</t>
  </si>
  <si>
    <t>EGA 300 0.70mm. thick 80cm wide</t>
  </si>
  <si>
    <t>EGA 300 0.80mm. thick 80cm wide</t>
  </si>
  <si>
    <t>EGA 300 1.00mm. thick 80cm wide</t>
  </si>
  <si>
    <t>EGA 400 0.30mm. thick 77cm wide</t>
  </si>
  <si>
    <t>EGA 400 0.35mm. thick 77cm wide</t>
  </si>
  <si>
    <t>EGA 400 0.40mm. thick 77cm wide</t>
  </si>
  <si>
    <t>EGA 400 0.50mm. thick 77cm wide</t>
  </si>
  <si>
    <t>EGA 400 0.60mm. thick 77cm wide</t>
  </si>
  <si>
    <t>EGA 400 0.70mm. thick 77cm wide</t>
  </si>
  <si>
    <t>EGA 400 0.80mm. thick 77cm wide</t>
  </si>
  <si>
    <t>EGA 400 1.00mm. thick 77cm wide</t>
  </si>
  <si>
    <t>EGA 500 0.30mm. thick 71cm wide</t>
  </si>
  <si>
    <t>EGA 500 0.35mm. thick 71cm wide</t>
  </si>
  <si>
    <t>EGA 500 0.40mm. thick 71cm wide</t>
  </si>
  <si>
    <t>Truck, Service 4x4</t>
  </si>
  <si>
    <t>8000-10000 Kg</t>
  </si>
  <si>
    <t>9x20</t>
  </si>
  <si>
    <t>Trailer Stake 2-axle</t>
  </si>
  <si>
    <t>13 – 15 ton</t>
  </si>
  <si>
    <t>Trailer Water tank 2-axle</t>
  </si>
  <si>
    <t>13000-15000 lit</t>
  </si>
  <si>
    <t>Trailer Fuel tank 2-axle</t>
  </si>
  <si>
    <t>Bus</t>
  </si>
  <si>
    <t>About 30 Seat</t>
  </si>
  <si>
    <t>About 60 seat</t>
  </si>
  <si>
    <t>Truck Crane, Hydraulic</t>
  </si>
  <si>
    <t>45 – 50 ton.</t>
  </si>
  <si>
    <t xml:space="preserve">Asphalt Distributor </t>
  </si>
  <si>
    <t>Supply and fix stainless steel kitchen sink with Single bowl complete with plastic smell trap, plug, chain holder, drain pipe,  mixing faucet, etc;.</t>
  </si>
  <si>
    <t>Size: 1000 x 600 mm</t>
  </si>
  <si>
    <t>10.1.12</t>
  </si>
  <si>
    <t>Supply, fix,test and commission approved quality urinals made of vitreous china with extended lip, complet with cistern,manual flush valve,P-smell trap strainer and with all the accessories.</t>
  </si>
  <si>
    <t>10.1.13</t>
  </si>
  <si>
    <t xml:space="preserve"> Dia. 40 mm</t>
  </si>
  <si>
    <t>Dia. 40 mm float valve for water tank.</t>
  </si>
  <si>
    <t>Provide dia. 40 mm overflow pipe to the water tank.</t>
  </si>
  <si>
    <t>Provide dia. 20 mm drain pipe to the water tank.</t>
  </si>
  <si>
    <t>1.5m3 capacity</t>
  </si>
  <si>
    <t xml:space="preserve">     Capacity: 50 m3</t>
  </si>
  <si>
    <t>klinker tile</t>
  </si>
  <si>
    <t>thick light weight</t>
  </si>
  <si>
    <t>concrete</t>
  </si>
  <si>
    <t>9.9.02</t>
  </si>
  <si>
    <t>Rigid PVC pipes of diameter 32mm for feeder cable.</t>
  </si>
  <si>
    <t>9.9.03</t>
  </si>
  <si>
    <t>B.M. Supply Enter.</t>
  </si>
  <si>
    <t xml:space="preserve">Terrazzo </t>
  </si>
  <si>
    <t>Ethio Marble (2cm. thick)</t>
  </si>
  <si>
    <t>Ml.</t>
  </si>
  <si>
    <t>a) Saba (Type A 2cm. thick)</t>
  </si>
  <si>
    <t>Saba Dim. Stone</t>
  </si>
  <si>
    <t>b) Saba (Type B 2cm. thick)</t>
  </si>
  <si>
    <t>c) Saba (Type C 2cm. thick)</t>
  </si>
  <si>
    <t>Selling price with VAT</t>
  </si>
  <si>
    <t>Source of Material</t>
  </si>
  <si>
    <t>Remarks</t>
  </si>
  <si>
    <t>Supply and fx 100mm high plastic tiles skirting fixed to wall with approved type adhesive.</t>
  </si>
  <si>
    <t xml:space="preserve">Supply and fix 300x30mm marble coping bedded in cement mortar (1:3).  </t>
  </si>
  <si>
    <t>OFFICE FURNITURE, EQUIPMENT AND MATERIAL</t>
  </si>
  <si>
    <t>Cost per month</t>
  </si>
  <si>
    <t>Computer with printer</t>
  </si>
  <si>
    <t>Table</t>
  </si>
  <si>
    <t>Chair</t>
  </si>
  <si>
    <t>Shelf</t>
  </si>
  <si>
    <t>Safe box</t>
  </si>
  <si>
    <t>Adding machine</t>
  </si>
  <si>
    <t xml:space="preserve"> D1' size 700 x 3100mm  </t>
  </si>
  <si>
    <t xml:space="preserve"> D3' size 800 x 3100mm  </t>
  </si>
  <si>
    <t>200mm. thick HCB (class A) wall bedded in cement sand mortar mix (1:3).</t>
  </si>
  <si>
    <t xml:space="preserve">Average 100mm thick light weight concrete at concrete roof </t>
  </si>
  <si>
    <t>Apply approved type of water proofing material (EPDM or equivalent) according to manufacturer's instruction with complete application.</t>
  </si>
  <si>
    <t>Supply and fix 0.5mm thick flat metal sheet coping (dev l=500mm).Price shall include fixing accessories.</t>
  </si>
  <si>
    <t>Supply and fix metal doors and windows fabricated from LTZ  profile size 38 x38 mm all according to size and shape specified on the detail drawing. Price shall include frame fixed as per door &amp; window fixing detail,  hinges, cylindrical lock,one coat of primer and two coats of synthetic paint.</t>
  </si>
  <si>
    <t>Metal Doors</t>
  </si>
  <si>
    <t>Type D1size 2100x2500mm</t>
  </si>
  <si>
    <t>Metal Windows</t>
  </si>
  <si>
    <t>Type W1 size 1200x1000mm</t>
  </si>
  <si>
    <t>Total Carried to Summary</t>
  </si>
  <si>
    <t>Apply three coats of plaster in cement mortar (1:3)up to fine finish to:</t>
  </si>
  <si>
    <t>Internal  walls  surfaces where specified.</t>
  </si>
  <si>
    <t>Ditto to  R.C slab soffit</t>
  </si>
  <si>
    <t>Ditto to  R.C parapet.</t>
  </si>
  <si>
    <t>Apply two coats of cement sand  plastering (1:3) and final coat with pigment treated to external wall surfaces.</t>
  </si>
  <si>
    <t xml:space="preserve">Apply three coats of approved type of plastic emulsion paint: </t>
  </si>
  <si>
    <t xml:space="preserve">Internal plastered wall surface </t>
  </si>
  <si>
    <t>SITE WORKS</t>
  </si>
  <si>
    <t>FENCE WORK</t>
  </si>
  <si>
    <t>PARKING AND PAVEMENT</t>
  </si>
  <si>
    <t xml:space="preserve"> SITE WORK</t>
  </si>
  <si>
    <t>1.</t>
  </si>
  <si>
    <t>Ditto but hand rail fixed to wall</t>
  </si>
  <si>
    <t>Supply and fix chrome valves of approved standard before hand wash basins, water closets and other fixtures.  Complete with unions, elastic water proofing, hand wheels of normal quality and with all other necessary accessories.</t>
  </si>
  <si>
    <t xml:space="preserve">     Dia. 15 mm</t>
  </si>
  <si>
    <t>10.2.3</t>
  </si>
  <si>
    <t>Back fill  under hard core with selected  material, well rammed in layers of 200mm thick and compacted at dry density and optimum moisture content.</t>
  </si>
  <si>
    <t>1.5</t>
  </si>
  <si>
    <t>Cart away excavated material.</t>
  </si>
  <si>
    <t>1.6</t>
  </si>
  <si>
    <t>25cm thick basaltic or equivalent stone hard core well rolled, consolidated and blinded with crushed stone.</t>
  </si>
  <si>
    <t>50mm thick lean concrete in C-5.</t>
  </si>
  <si>
    <t>2.1</t>
  </si>
  <si>
    <t>Under masonry wall</t>
  </si>
  <si>
    <t>Reinforced concrete in C-25 filled in to form work and vibrated around steel reinforcement (formwork and reinforcement measured separately).</t>
  </si>
  <si>
    <t>2.2</t>
  </si>
  <si>
    <t>2.3</t>
  </si>
  <si>
    <t xml:space="preserve">In 100mm thick ground slab </t>
  </si>
  <si>
    <t>2.4</t>
  </si>
  <si>
    <t>To grade beams</t>
  </si>
  <si>
    <t>150 but not exceed</t>
  </si>
  <si>
    <t xml:space="preserve">      300 cm</t>
  </si>
  <si>
    <t>Pit excavation up</t>
  </si>
  <si>
    <t>to 150 cm</t>
  </si>
  <si>
    <t>Exceeding 150 but not</t>
  </si>
  <si>
    <t xml:space="preserve"> exceeding 300cm</t>
  </si>
  <si>
    <r>
      <t>3x50/25 + 25mm</t>
    </r>
    <r>
      <rPr>
        <vertAlign val="superscript"/>
        <sz val="10"/>
        <rFont val="Arial"/>
        <family val="2"/>
      </rPr>
      <t>2</t>
    </r>
    <r>
      <rPr>
        <sz val="10"/>
        <rFont val="Arial"/>
        <family val="2"/>
      </rPr>
      <t xml:space="preserve"> from MDB-4-GF to SDB-4-2F</t>
    </r>
  </si>
  <si>
    <r>
      <t>3x50/25 + 25mm</t>
    </r>
    <r>
      <rPr>
        <vertAlign val="superscript"/>
        <sz val="10"/>
        <rFont val="Arial"/>
        <family val="2"/>
      </rPr>
      <t>2</t>
    </r>
    <r>
      <rPr>
        <sz val="10"/>
        <rFont val="Arial"/>
        <family val="2"/>
      </rPr>
      <t xml:space="preserve"> from MDB-4-GF to SDB-4-3F</t>
    </r>
  </si>
  <si>
    <t>clamp and fixing accessories.</t>
  </si>
  <si>
    <t>5.3.03</t>
  </si>
  <si>
    <r>
      <t>Properly fix copper conductor of 1x50 mm</t>
    </r>
    <r>
      <rPr>
        <vertAlign val="superscript"/>
        <sz val="10"/>
        <rFont val="Arial"/>
        <family val="2"/>
      </rPr>
      <t xml:space="preserve">2 </t>
    </r>
    <r>
      <rPr>
        <sz val="10"/>
        <rFont val="Arial"/>
        <family val="2"/>
      </rPr>
      <t xml:space="preserve">from main earth </t>
    </r>
  </si>
  <si>
    <t>Ditto but under masonry foundation wall..</t>
  </si>
  <si>
    <t>Under  grade beams.</t>
  </si>
  <si>
    <r>
      <t>m</t>
    </r>
    <r>
      <rPr>
        <vertAlign val="superscript"/>
        <sz val="10"/>
        <rFont val="Arial"/>
        <family val="2"/>
      </rPr>
      <t>2</t>
    </r>
  </si>
  <si>
    <t xml:space="preserve">bar to earthing bar of CMDB, generator neutral and </t>
  </si>
  <si>
    <t xml:space="preserve">EEPCO transformer </t>
  </si>
  <si>
    <t>5.4 LIGHTNING PROTECTION</t>
  </si>
  <si>
    <t>5.4.01</t>
  </si>
  <si>
    <t>Data/Telephone cable 2x(category 6 UTP 4 pair cable inside medium duty corrugated PVC conduit of 25mm diameter and rectangular closed trunkings. Price to include CAT 6 RJ45 terminations.</t>
  </si>
  <si>
    <t>Note: corrugated conduit and rectangular closed trunkings measured elsewhere.</t>
  </si>
  <si>
    <t>Automatic Hand Drier VORTICE AHDR 19206</t>
  </si>
  <si>
    <t>Ditto but for SDB-4-1F-5 and consisting of:-</t>
  </si>
  <si>
    <t>Ditto but for SDB-4-1F-6 and consisting of:-</t>
  </si>
  <si>
    <t>Supply and fix 8mm thick chip wood ceiling.Price shall include battens,fixing accessories and other incidental works.</t>
  </si>
  <si>
    <t>Chip wood ceiling.</t>
  </si>
  <si>
    <t xml:space="preserve"> D1 size  700 x 3100mm </t>
  </si>
  <si>
    <t xml:space="preserve"> D2 size  1400 x 3100mm </t>
  </si>
  <si>
    <t>Pit excavation in ordinary soil for footings to a depth not exceeding 1000 mm from bulk excavation level.</t>
  </si>
  <si>
    <t>Diam 28mm Deformed bar.</t>
  </si>
  <si>
    <t>"       24mm         ''         "</t>
  </si>
  <si>
    <t>Filing cabinet</t>
  </si>
  <si>
    <t xml:space="preserve">Stationery  </t>
  </si>
  <si>
    <t>Ls</t>
  </si>
  <si>
    <t>Utilities</t>
  </si>
  <si>
    <t>Medicine</t>
  </si>
  <si>
    <t>PROVISIONAL FACILITIES</t>
  </si>
  <si>
    <t>Qty.</t>
  </si>
  <si>
    <t>Unit cost</t>
  </si>
  <si>
    <t>Total cost</t>
  </si>
  <si>
    <t>Salvage value(30%)</t>
  </si>
  <si>
    <t>Net total cost</t>
  </si>
  <si>
    <t>Office</t>
  </si>
  <si>
    <t>Store</t>
  </si>
  <si>
    <t>Rebar cutting shade</t>
  </si>
  <si>
    <t>H.C.B. production shed</t>
  </si>
  <si>
    <t>Guard house</t>
  </si>
  <si>
    <t>Pit latrin</t>
  </si>
  <si>
    <t>Staff toilet</t>
  </si>
  <si>
    <t>Tea room</t>
  </si>
  <si>
    <t>Fence</t>
  </si>
  <si>
    <t>Distribution pipe</t>
  </si>
  <si>
    <t>Electrical wires</t>
  </si>
  <si>
    <t>Scaffolding</t>
  </si>
  <si>
    <t>MOVE IN MOVE OUT COST</t>
  </si>
  <si>
    <t>No. of Trips</t>
  </si>
  <si>
    <t>Cost per trip</t>
  </si>
  <si>
    <t>Truck</t>
  </si>
  <si>
    <t>FINANCIAL COSTS</t>
  </si>
  <si>
    <t>Amount</t>
  </si>
  <si>
    <t>Performance bond = (1.4% of 15% project cost) = .014 x 0.15 x 8000000</t>
  </si>
  <si>
    <t xml:space="preserve">Interest on unpaid sum = (for average delay of certificate= 15days) = 0.03 x 8000000 x 1/ 24 </t>
  </si>
  <si>
    <t>Guarantee for mobilization advance x 2.4% of mobilization advance</t>
  </si>
  <si>
    <t>Bid bond guarantee</t>
  </si>
  <si>
    <t>SUMMARY OF INDIRECT</t>
  </si>
  <si>
    <t xml:space="preserve"> SITE COST</t>
  </si>
  <si>
    <t>Supervision</t>
  </si>
  <si>
    <t>Administration</t>
  </si>
  <si>
    <t>Plant and tools</t>
  </si>
  <si>
    <t>Office furniture, Equipment and materials</t>
  </si>
  <si>
    <t>Provision facilities</t>
  </si>
  <si>
    <t>Movein Moveout</t>
  </si>
  <si>
    <t>Financial</t>
  </si>
  <si>
    <t>Total indirtect site cost</t>
  </si>
  <si>
    <t>Project cost</t>
  </si>
  <si>
    <t>Percentage</t>
  </si>
  <si>
    <t>Head office contribution</t>
  </si>
  <si>
    <t>Project Cost=</t>
  </si>
  <si>
    <t xml:space="preserve">Construct ground reinforced concrete reservoir of capacity 50 m3  equipped with vent pipe with galvanized wire mesh cover, manhole overflow and drain pipes and all necessary accessories and adjacent pump house. Price shall include all incidental works to make the work complete.  </t>
  </si>
  <si>
    <t>Excavation and earth work</t>
  </si>
  <si>
    <t>Clearing of the site to remove top soil to a depth of 20cm</t>
  </si>
  <si>
    <t>Bulk excavation in ordinary soil to a depth not exceeding 1.50m</t>
  </si>
  <si>
    <t>Back fill with selected granular material around wall</t>
  </si>
  <si>
    <t xml:space="preserve">Cart away the excavated material </t>
  </si>
  <si>
    <t xml:space="preserve"> D3 size  800 x 3100mm </t>
  </si>
  <si>
    <t>Purlin special /Kerero/</t>
  </si>
  <si>
    <t>Built incupnoard /Mahogany/</t>
  </si>
  <si>
    <t>Tie wire Dia 2mm</t>
  </si>
  <si>
    <t xml:space="preserve">Dia 6 </t>
  </si>
  <si>
    <t>Dia 8</t>
  </si>
  <si>
    <t>Dia 10</t>
  </si>
  <si>
    <t>Dia 12</t>
  </si>
  <si>
    <t>Dia 14</t>
  </si>
  <si>
    <t>Dia 16</t>
  </si>
  <si>
    <t>Dia 20</t>
  </si>
  <si>
    <t>Dia 24</t>
  </si>
  <si>
    <t>Dia 28</t>
  </si>
  <si>
    <t>Dia 30</t>
  </si>
  <si>
    <t>qnt</t>
  </si>
  <si>
    <t>REINFORCEMENT</t>
  </si>
  <si>
    <t>CORRUGATED IRON SHEET</t>
  </si>
  <si>
    <t>PC</t>
  </si>
  <si>
    <t>Kg</t>
  </si>
  <si>
    <t>with appropriate cover plate, frame and claw and screw type box.</t>
  </si>
  <si>
    <t>1-way.</t>
  </si>
  <si>
    <t>2-way.</t>
  </si>
  <si>
    <t xml:space="preserve">Socket outlet GEWISS eco range flush mounted, 16A, 1ph, </t>
  </si>
  <si>
    <t xml:space="preserve">schuko type in rigid thermoplastic conduit of diameter 16mm </t>
  </si>
  <si>
    <r>
      <t>fed by PVC conductor of 3x2.5mm</t>
    </r>
    <r>
      <rPr>
        <vertAlign val="superscript"/>
        <sz val="10"/>
        <rFont val="Lucida Sans"/>
        <family val="2"/>
      </rPr>
      <t>2</t>
    </r>
    <r>
      <rPr>
        <sz val="10"/>
        <rFont val="Lucida Sans"/>
        <family val="2"/>
      </rPr>
      <t>.</t>
    </r>
  </si>
  <si>
    <t xml:space="preserve">Socket outlet GEWISS eco range flush mounted, 2-gang (twin), </t>
  </si>
  <si>
    <t>9.7.12</t>
  </si>
  <si>
    <t>9.7.13</t>
  </si>
  <si>
    <t>9.7.14</t>
  </si>
  <si>
    <t>9.7.15</t>
  </si>
  <si>
    <t>9.7.16</t>
  </si>
  <si>
    <t>9.7.17</t>
  </si>
  <si>
    <t>9.7.18</t>
  </si>
  <si>
    <t>9.7.19</t>
  </si>
  <si>
    <t>9.7.20</t>
  </si>
  <si>
    <t>9.7.21</t>
  </si>
  <si>
    <t>9.7.22</t>
  </si>
  <si>
    <t>9.7.23</t>
  </si>
  <si>
    <t>9.7.24</t>
  </si>
  <si>
    <t>9.7.25</t>
  </si>
  <si>
    <t>9.7.26</t>
  </si>
  <si>
    <t>9.7.27</t>
  </si>
  <si>
    <t>9.7.28</t>
  </si>
  <si>
    <t>9.7.29</t>
  </si>
  <si>
    <t>9.7.30</t>
  </si>
  <si>
    <t>9.7.31</t>
  </si>
  <si>
    <t>9.7.32</t>
  </si>
  <si>
    <t>9.7.33</t>
  </si>
  <si>
    <t>9.7.34</t>
  </si>
  <si>
    <t>9.7.35</t>
  </si>
  <si>
    <t>9.7.36</t>
  </si>
  <si>
    <t>9.7.37</t>
  </si>
  <si>
    <t>9.7.38</t>
  </si>
  <si>
    <t>9.7.39</t>
  </si>
  <si>
    <t>9.7.40</t>
  </si>
  <si>
    <t>9.7.41</t>
  </si>
  <si>
    <t>9.7.42</t>
  </si>
  <si>
    <t>9.7.43</t>
  </si>
  <si>
    <t>9.7.44</t>
  </si>
  <si>
    <t>9.7.45</t>
  </si>
  <si>
    <t>9.7.46</t>
  </si>
  <si>
    <t>9.7.47</t>
  </si>
  <si>
    <t>9.7.48</t>
  </si>
  <si>
    <t xml:space="preserve"> D7 size  800 x 3100mm </t>
  </si>
  <si>
    <t xml:space="preserve"> D9 size  2100 x 3100mm </t>
  </si>
  <si>
    <t>400x400x11mm non-slippery ceramic flooring bedded and jointed in cement mortar (1:3) . Price shall include 30 mm thick cement mortar backing.</t>
  </si>
  <si>
    <t>Supply and fix 100x20mm  terrazzo skirting with cement sand mortar backing (1:3).</t>
  </si>
  <si>
    <t xml:space="preserve">Supply and fix 300x30mm terrazzo window sill bedded on cement mortar (1:3).  </t>
  </si>
  <si>
    <t>A.</t>
  </si>
  <si>
    <t>SUB-STRUCTURE</t>
  </si>
  <si>
    <t>EXCAVATION &amp; EARTH WORK</t>
  </si>
  <si>
    <t>Birr</t>
  </si>
  <si>
    <t>CONCRETE WORK</t>
  </si>
  <si>
    <t>,,</t>
  </si>
  <si>
    <t>MASONRY WORK</t>
  </si>
  <si>
    <t>SUB-TOTAL A</t>
  </si>
  <si>
    <t>B.</t>
  </si>
  <si>
    <t>SUPER-STRUCTURE</t>
  </si>
  <si>
    <t>BLOCK WORK</t>
  </si>
  <si>
    <t>ROOFING</t>
  </si>
  <si>
    <t>CARPENTRY AND JOINERY</t>
  </si>
  <si>
    <t>METAL WORK</t>
  </si>
  <si>
    <t>FINISHING</t>
  </si>
  <si>
    <t>GLAZING</t>
  </si>
  <si>
    <t>PAINTING</t>
  </si>
  <si>
    <t>ELECTRICAL INSTALLATION</t>
  </si>
  <si>
    <t>SANITARY INSTALLATION</t>
  </si>
  <si>
    <t>SUB-TOTAL B</t>
  </si>
  <si>
    <t>TOTAL A+B</t>
  </si>
  <si>
    <t>15% VAT</t>
  </si>
  <si>
    <t>TOTAL+VAT</t>
  </si>
  <si>
    <t>10% CONTINGENCY</t>
  </si>
  <si>
    <t>GRAND TOTAL</t>
  </si>
  <si>
    <t>ITEM</t>
  </si>
  <si>
    <t>DESCRIPTION</t>
  </si>
  <si>
    <t>UNIT</t>
  </si>
  <si>
    <t>QTY</t>
  </si>
  <si>
    <t>RATE</t>
  </si>
  <si>
    <t>AMOUNT</t>
  </si>
  <si>
    <t>Window D.</t>
  </si>
  <si>
    <t>Price shall include all the necessary pipe connections.</t>
  </si>
  <si>
    <t>2.5m3 capacity</t>
  </si>
  <si>
    <t>10.4.4</t>
  </si>
  <si>
    <t>Construct septic tank of the following capacity as per the sanitary and structural detail drawing and specification described below:</t>
  </si>
  <si>
    <t xml:space="preserve">     Capacity: 30 m3</t>
  </si>
  <si>
    <t>1.0 Excavation &amp; Loose Fill Works</t>
  </si>
  <si>
    <t>Excavation pits (soil + rock)</t>
  </si>
  <si>
    <t>Ditto over 150cm</t>
  </si>
  <si>
    <t>Backfill under slab</t>
  </si>
  <si>
    <t>Backfill around retaining wall</t>
  </si>
  <si>
    <t>Cart away</t>
  </si>
  <si>
    <t>2.0 Concrete Work</t>
  </si>
  <si>
    <t>5cm thick lean concrete</t>
  </si>
  <si>
    <t>Reinforced concrete in class C-20</t>
  </si>
  <si>
    <t>5-Carepentery and Joinery</t>
  </si>
  <si>
    <t>Fill around found.</t>
  </si>
  <si>
    <t>from site.</t>
  </si>
  <si>
    <t>Ditto but brought from</t>
  </si>
  <si>
    <t xml:space="preserve">     "              "            1 TO  1.6A       </t>
  </si>
  <si>
    <t xml:space="preserve">     "              "            1.6 TO   2.5A       </t>
  </si>
  <si>
    <t xml:space="preserve">     "              "            2.5 TO   4A       </t>
  </si>
  <si>
    <t xml:space="preserve">     "              "            4 TO   6.3A       </t>
  </si>
  <si>
    <t xml:space="preserve">     "              "            6 TO   10A       </t>
  </si>
  <si>
    <t xml:space="preserve">     "              "            9 TO   14A       </t>
  </si>
  <si>
    <t xml:space="preserve">     "              "            13 TO   18A       </t>
  </si>
  <si>
    <t>ACCESSORIES BOX FOR MOTOR PROTECTION</t>
  </si>
  <si>
    <t xml:space="preserve">           "             ADAPTOR FOR BOX 1P-55</t>
  </si>
  <si>
    <t>AUXIliARY FAlLER CONTAcr'</t>
  </si>
  <si>
    <r>
      <t>SUPPLEMENTARY</t>
    </r>
    <r>
      <rPr>
        <sz val="10"/>
        <rFont val="Times New Roman"/>
        <family val="1"/>
      </rPr>
      <t xml:space="preserve"> PHOTO -ELECRIC FOR SENSATIVE SwmCH</t>
    </r>
  </si>
  <si>
    <t>TIME SWITCH 24HR PROGRAM 1 MOD.WITH 100 HR WORKING RESERVE</t>
  </si>
  <si>
    <r>
      <t>TIME SWITCH 1 HR PROGRAM</t>
    </r>
    <r>
      <rPr>
        <i/>
        <sz val="10"/>
        <rFont val="Times New Roman"/>
        <family val="1"/>
      </rPr>
      <t xml:space="preserve"> WI</t>
    </r>
    <r>
      <rPr>
        <sz val="10"/>
        <rFont val="Times New Roman"/>
        <family val="1"/>
      </rPr>
      <t xml:space="preserve"> OUT WOWRKING RESERVE</t>
    </r>
  </si>
  <si>
    <t>MODULAR TIME SWITCH 24HR PROGRAM WITH WORKING RESERVE</t>
  </si>
  <si>
    <t xml:space="preserve">            "                           "        7DAY PROGRAM</t>
  </si>
  <si>
    <t>VOLTAGE SURGE PROTECITON FOR TELEPHON ANALDGUE</t>
  </si>
  <si>
    <t xml:space="preserve">        "              "                       "              "              "        DIGITAL</t>
  </si>
  <si>
    <t>20-30 ton.</t>
  </si>
  <si>
    <t>4800kg</t>
  </si>
  <si>
    <t>34Kg.</t>
  </si>
  <si>
    <t>2.0 – 2.8M3</t>
  </si>
  <si>
    <t>About 14 Ton</t>
  </si>
  <si>
    <t>120TPH</t>
  </si>
  <si>
    <t>B- Labor Cost</t>
  </si>
  <si>
    <t>Labor by trade</t>
  </si>
  <si>
    <t>1- EXCAVATION AND EARTH WORK</t>
  </si>
  <si>
    <t>D. labor</t>
  </si>
  <si>
    <t>bitumen</t>
  </si>
  <si>
    <t>C.5 lean concrete</t>
  </si>
  <si>
    <t>aggregate</t>
  </si>
  <si>
    <t>Vibrato.</t>
  </si>
  <si>
    <t>PUSH BUlTON lX20A INfO</t>
  </si>
  <si>
    <t xml:space="preserve">     "             "           "    1N/C</t>
  </si>
  <si>
    <t xml:space="preserve">     "             "           "    2N/O</t>
  </si>
  <si>
    <t xml:space="preserve">     "             "           "    INfO+NfC</t>
  </si>
  <si>
    <r>
      <t xml:space="preserve">     "             "           "    DUAL FUNC .NfO GREEN</t>
    </r>
    <r>
      <rPr>
        <i/>
        <sz val="10"/>
        <rFont val="Times New Roman"/>
        <family val="1"/>
      </rPr>
      <t xml:space="preserve"> ,NfC</t>
    </r>
    <r>
      <rPr>
        <sz val="10"/>
        <rFont val="Times New Roman"/>
        <family val="1"/>
      </rPr>
      <t xml:space="preserve"> RED</t>
    </r>
  </si>
  <si>
    <t>INDICATOR RED</t>
  </si>
  <si>
    <t xml:space="preserve">30mm wide </t>
  </si>
  <si>
    <t>beams &amp; columns</t>
  </si>
  <si>
    <r>
      <t>m</t>
    </r>
    <r>
      <rPr>
        <vertAlign val="superscript"/>
        <sz val="8"/>
        <rFont val="Arial"/>
        <family val="2"/>
      </rPr>
      <t>2</t>
    </r>
  </si>
  <si>
    <t xml:space="preserve">20 mm thick </t>
  </si>
  <si>
    <t>terazzo floor tiles</t>
  </si>
  <si>
    <t xml:space="preserve">Marble flooring  </t>
  </si>
  <si>
    <t xml:space="preserve">20mm white </t>
  </si>
  <si>
    <t>Gojjam</t>
  </si>
  <si>
    <t xml:space="preserve">Marble flooring </t>
  </si>
  <si>
    <t xml:space="preserve">30mm white </t>
  </si>
  <si>
    <t xml:space="preserve">48mm thick </t>
  </si>
  <si>
    <t xml:space="preserve">cement sand </t>
  </si>
  <si>
    <t>textured tiles</t>
  </si>
  <si>
    <t>d.labourer</t>
  </si>
  <si>
    <t>D. labourer</t>
  </si>
  <si>
    <t>Mortar grouting</t>
  </si>
  <si>
    <t>red ash bed</t>
  </si>
  <si>
    <t xml:space="preserve">Cement sand </t>
  </si>
  <si>
    <t>wa. Cement</t>
  </si>
  <si>
    <t>Wa. on sand</t>
  </si>
  <si>
    <t xml:space="preserve"> Wa. on mortar</t>
  </si>
  <si>
    <t>115x240x6mm</t>
  </si>
  <si>
    <t xml:space="preserve">Klinker tile  </t>
  </si>
  <si>
    <t xml:space="preserve">(heavy duty) size </t>
  </si>
  <si>
    <t>window sill</t>
  </si>
  <si>
    <t xml:space="preserve">30mm thick </t>
  </si>
  <si>
    <t xml:space="preserve">pre-cast terrazzo </t>
  </si>
  <si>
    <t xml:space="preserve">Milled timber </t>
  </si>
  <si>
    <t>ceiling (purlin)</t>
  </si>
  <si>
    <t>Hard board ceiling</t>
  </si>
  <si>
    <t xml:space="preserve">3 mm thick </t>
  </si>
  <si>
    <t>clear glass</t>
  </si>
  <si>
    <t xml:space="preserve">4mm thick </t>
  </si>
  <si>
    <t xml:space="preserve">6 mm thick </t>
  </si>
  <si>
    <t>Three coats</t>
  </si>
  <si>
    <t>glue</t>
  </si>
  <si>
    <t xml:space="preserve">Ditto but varnish </t>
  </si>
  <si>
    <t xml:space="preserve">Ditto but synthetic </t>
  </si>
  <si>
    <t>enamel paint</t>
  </si>
  <si>
    <r>
      <t>3x2.5mm</t>
    </r>
    <r>
      <rPr>
        <vertAlign val="superscript"/>
        <sz val="10"/>
        <rFont val="Arial"/>
        <family val="2"/>
      </rPr>
      <t>2</t>
    </r>
    <r>
      <rPr>
        <sz val="10"/>
        <rFont val="Arial"/>
        <family val="2"/>
      </rPr>
      <t xml:space="preserve"> (2x1500) BLACK H05VV-F</t>
    </r>
  </si>
  <si>
    <t>Industrial type flush mounted socket outlet: 16A/2P+E</t>
  </si>
  <si>
    <t>5.10.06</t>
  </si>
  <si>
    <t>Industrial type surface mounted socket outlet: 16A/4P+E</t>
  </si>
  <si>
    <t>5.11 TYPE OF LIGHT FITTINGS WITH LAMPS</t>
  </si>
  <si>
    <t>(TRANSFORMER / GENERATOR HOUSE)</t>
  </si>
  <si>
    <t>5.11.01</t>
  </si>
  <si>
    <t xml:space="preserve">Disano 993 Forma CNR with 2x"TL"D 36W / 54 </t>
  </si>
  <si>
    <t>fluorescent lamp and all fixing accessories.</t>
  </si>
  <si>
    <t>5.11.02</t>
  </si>
  <si>
    <t xml:space="preserve">Disano 993EM Forma CNR-E with 2x"TL"D 36W / 54 </t>
  </si>
  <si>
    <t>SECURITY ROOM</t>
  </si>
  <si>
    <t>5.11.03</t>
  </si>
  <si>
    <t>5.11.04</t>
  </si>
  <si>
    <t>5.12 TELEPHONE POINTS</t>
  </si>
  <si>
    <t>5.12.01</t>
  </si>
  <si>
    <t>5.12.02</t>
  </si>
  <si>
    <t>5.12.03</t>
  </si>
  <si>
    <t>F.M D BOARD FOR 8 ACB</t>
  </si>
  <si>
    <t>ARTICLE</t>
  </si>
  <si>
    <t>S.N</t>
  </si>
  <si>
    <t>LIST</t>
  </si>
  <si>
    <t>"                           "                           "       lX75W D-300MM</t>
  </si>
  <si>
    <t>"                           "                           "       lX60W D-250MM</t>
  </si>
  <si>
    <t>"                           "                           "      1X75W D- 300MM</t>
  </si>
  <si>
    <t>"                   "                     "   2X60W D- 330MM</t>
  </si>
  <si>
    <r>
      <t>"                  "                     "   lX100W</t>
    </r>
    <r>
      <rPr>
        <sz val="12"/>
        <rFont val="Arial Narrow"/>
        <family val="2"/>
      </rPr>
      <t xml:space="preserve"> D-330MM</t>
    </r>
  </si>
  <si>
    <r>
      <t>"                   "                     " lX60W</t>
    </r>
    <r>
      <rPr>
        <sz val="11"/>
        <rFont val="Arial Narrow"/>
        <family val="2"/>
      </rPr>
      <t xml:space="preserve"> D-240X240MM</t>
    </r>
  </si>
  <si>
    <t>"                         "                             "  lX75W D-280X280MM</t>
  </si>
  <si>
    <t>"                  "                     " lX60W D-265X190XI00MM</t>
  </si>
  <si>
    <r>
      <t>"                 "                     "  lX75W</t>
    </r>
    <r>
      <rPr>
        <sz val="12"/>
        <rFont val="Arial Narrow"/>
        <family val="2"/>
      </rPr>
      <t xml:space="preserve"> D-230MM</t>
    </r>
  </si>
  <si>
    <t>MINI TRUNKING 20X12.5MM W/OUT PARTITING</t>
  </si>
  <si>
    <t>MINI TRUNKING 32X12,5MM WITH PARTITION</t>
  </si>
  <si>
    <t>. MINI-TRUNKING...32X12.5MM-W/OUT PARTITION</t>
  </si>
  <si>
    <t>MINI TRUNKING 32X20MM</t>
  </si>
  <si>
    <t>MINI TRUNKING 40X20MM</t>
  </si>
  <si>
    <t>TRUNKING 75X50MM WITH 60MM WIDTH COVER</t>
  </si>
  <si>
    <t>TRUNKING 100X50MM WITH COVER</t>
  </si>
  <si>
    <t>TRUNKING 130X50</t>
  </si>
  <si>
    <t>TRUNKUING 160X50MM W/OUT COVER-</t>
  </si>
  <si>
    <r>
      <t>TRUNKING 250X65MM W/OUT COVER</t>
    </r>
    <r>
      <rPr>
        <sz val="4"/>
        <rFont val="Arial"/>
        <family val="2"/>
      </rPr>
      <t xml:space="preserve"> -- -</t>
    </r>
  </si>
  <si>
    <t>MINI TRUNKING 41Xl0</t>
  </si>
  <si>
    <t xml:space="preserve">          "                    "                      " 160N4PH</t>
  </si>
  <si>
    <t xml:space="preserve">          "                    "                   "     250N3PH FRONT HANDL</t>
  </si>
  <si>
    <t>1.584.00</t>
  </si>
  <si>
    <r>
      <t xml:space="preserve">          "                    "                   "     250N</t>
    </r>
    <r>
      <rPr>
        <sz val="10"/>
        <rFont val="Times New Roman"/>
        <family val="1"/>
      </rPr>
      <t xml:space="preserve"> 3PH SIDE HANDL</t>
    </r>
  </si>
  <si>
    <t>1 639.00</t>
  </si>
  <si>
    <t>VISTOP ISOLATING SWITCH 400N3PH FRONT HANDL</t>
  </si>
  <si>
    <t>DOOR INTERLOCK FAOLIlY' FOR 100A /4PH</t>
  </si>
  <si>
    <r>
      <t>TERINAL SHIELE FOR</t>
    </r>
    <r>
      <rPr>
        <i/>
        <sz val="10"/>
        <rFont val="Times New Roman"/>
        <family val="1"/>
      </rPr>
      <t xml:space="preserve"> lOON/4PH</t>
    </r>
  </si>
  <si>
    <t xml:space="preserve">        "              "           "    160Jl/3PH</t>
  </si>
  <si>
    <t xml:space="preserve">        "              "           "    250/1/3PH</t>
  </si>
  <si>
    <t xml:space="preserve">        "              "           "    4001/3 PH</t>
  </si>
  <si>
    <t>FLASH BUlTON SINGLE GREEN</t>
  </si>
  <si>
    <t xml:space="preserve">        "              "           "       RED</t>
  </si>
  <si>
    <t>SELECTED SWITCH HEAD 3 PART</t>
  </si>
  <si>
    <t>LOVER HANDLE HEAD</t>
  </si>
  <si>
    <t>INDICATOR UGHT HEAD GREEN</t>
  </si>
  <si>
    <t xml:space="preserve">        "                  "           "       RED</t>
  </si>
  <si>
    <t>INDICATOR UGHT HEAD</t>
  </si>
  <si>
    <t>CONTACT BLOCK WITH 1 ELEMENT N/O GREEN</t>
  </si>
  <si>
    <t xml:space="preserve">            "                  "               "        1           "            N/O RED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</si>
</sst>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General_)"/>
    <numFmt numFmtId="167" formatCode="_-* #,##0_-;\-* #,##0_-;_-* &quot;-&quot;??_-;_-@_-"/>
    <numFmt numFmtId="168" formatCode="_(* #,##0_);_(* \(#,##0\);_(* &quot;-&quot;??_);_(@_)"/>
    <numFmt numFmtId="169" formatCode="_(* #,##0.0_);_(* \(#,##0.0\);_(* &quot;-&quot;??_);_(@_)"/>
    <numFmt numFmtId="170" formatCode="_ * #,##0.00_ ;_ * \-#,##0.00_ ;_ * &quot;-&quot;??_ ;_ @_ "/>
    <numFmt numFmtId="171" formatCode="0.0000"/>
    <numFmt numFmtId="172" formatCode="0.00000"/>
    <numFmt numFmtId="173" formatCode="&quot;$&quot;#,##0.0"/>
    <numFmt numFmtId="174" formatCode="#,##0.0"/>
    <numFmt numFmtId="175" formatCode="0.0000000000000"/>
    <numFmt numFmtId="176" formatCode="0.000000"/>
    <numFmt numFmtId="177" formatCode="_-* #,##0.00_-;\-* #,##0.00_-;_-* &quot;-&quot;??_-;_-@_-"/>
    <numFmt numFmtId="178" formatCode="0.000000000"/>
    <numFmt numFmtId="179" formatCode="0.00000000"/>
    <numFmt numFmtId="180" formatCode="0.0000000"/>
    <numFmt numFmtId="181" formatCode="&quot;$&quot;#,##0.00"/>
    <numFmt numFmtId="182" formatCode="#,##0.00;[Red]#,##0.00"/>
    <numFmt numFmtId="183" formatCode="_(* #,##0.000_);_(* \(#,##0.000\);_(* &quot;-&quot;???_);_(@_)"/>
    <numFmt numFmtId="184" formatCode="_(* #,##0.000_);_(* \(#,##0.000\);_(* &quot;-&quot;??_);_(@_)"/>
    <numFmt numFmtId="185" formatCode="0.0E+00"/>
    <numFmt numFmtId="186" formatCode="0.000E+00"/>
    <numFmt numFmtId="187" formatCode="0E+00"/>
    <numFmt numFmtId="188" formatCode="_(* #,##0.0000_);_(* \(#,##0.0000\);_(* &quot;-&quot;??_);_(@_)"/>
    <numFmt numFmtId="189" formatCode="00000"/>
    <numFmt numFmtId="190" formatCode="#,##0.000"/>
  </numFmts>
  <fonts count="129">
    <font>
      <sz val="10"/>
      <name val="Arial"/>
      <family val="0"/>
    </font>
    <font>
      <sz val="12"/>
      <name val="Arial"/>
      <family val="2"/>
    </font>
    <font>
      <sz val="10"/>
      <color indexed="9"/>
      <name val="Arial"/>
      <family val="2"/>
    </font>
    <font>
      <b/>
      <sz val="10"/>
      <name val="Arial"/>
      <family val="2"/>
    </font>
    <font>
      <b/>
      <u val="single"/>
      <sz val="12"/>
      <name val="Arial"/>
      <family val="2"/>
    </font>
    <font>
      <b/>
      <sz val="10"/>
      <color indexed="9"/>
      <name val="Arial"/>
      <family val="2"/>
    </font>
    <font>
      <b/>
      <sz val="12"/>
      <name val="Arial"/>
      <family val="2"/>
    </font>
    <font>
      <b/>
      <u val="single"/>
      <sz val="10"/>
      <name val="Arial"/>
      <family val="2"/>
    </font>
    <font>
      <vertAlign val="superscript"/>
      <sz val="10"/>
      <name val="Arial"/>
      <family val="2"/>
    </font>
    <font>
      <b/>
      <sz val="12"/>
      <color indexed="9"/>
      <name val="Arial"/>
      <family val="2"/>
    </font>
    <font>
      <sz val="10"/>
      <color indexed="8"/>
      <name val="Arial"/>
      <family val="2"/>
    </font>
    <font>
      <i/>
      <sz val="10"/>
      <name val="Times New Roman"/>
      <family val="1"/>
    </font>
    <font>
      <i/>
      <sz val="10"/>
      <name val="Arial"/>
      <family val="2"/>
    </font>
    <font>
      <sz val="10"/>
      <color indexed="10"/>
      <name val="Arial"/>
      <family val="2"/>
    </font>
    <font>
      <b/>
      <sz val="10"/>
      <color indexed="10"/>
      <name val="Arial"/>
      <family val="2"/>
    </font>
    <font>
      <b/>
      <sz val="14"/>
      <color indexed="10"/>
      <name val="Arial"/>
      <family val="2"/>
    </font>
    <font>
      <b/>
      <u val="single"/>
      <sz val="14"/>
      <name val="Arial"/>
      <family val="2"/>
    </font>
    <font>
      <b/>
      <u val="single"/>
      <sz val="14"/>
      <color indexed="9"/>
      <name val="Arial"/>
      <family val="2"/>
    </font>
    <font>
      <b/>
      <sz val="14"/>
      <name val="Arial"/>
      <family val="2"/>
    </font>
    <font>
      <b/>
      <sz val="18"/>
      <name val="Arial"/>
      <family val="2"/>
    </font>
    <font>
      <b/>
      <vertAlign val="superscript"/>
      <sz val="10"/>
      <name val="Arial"/>
      <family val="2"/>
    </font>
    <font>
      <vertAlign val="superscript"/>
      <sz val="10"/>
      <name val="Lucida Sans"/>
      <family val="2"/>
    </font>
    <font>
      <sz val="10"/>
      <name val="Lucida Sans"/>
      <family val="2"/>
    </font>
    <font>
      <vertAlign val="superscript"/>
      <sz val="9"/>
      <name val="Arial"/>
      <family val="2"/>
    </font>
    <font>
      <sz val="9"/>
      <name val="Arial"/>
      <family val="2"/>
    </font>
    <font>
      <b/>
      <i/>
      <sz val="10"/>
      <name val="Arial"/>
      <family val="2"/>
    </font>
    <font>
      <b/>
      <sz val="12"/>
      <color indexed="8"/>
      <name val="Arial"/>
      <family val="2"/>
    </font>
    <font>
      <b/>
      <sz val="10"/>
      <color indexed="8"/>
      <name val="Arial"/>
      <family val="2"/>
    </font>
    <font>
      <b/>
      <u val="single"/>
      <sz val="10"/>
      <color indexed="8"/>
      <name val="Arial"/>
      <family val="2"/>
    </font>
    <font>
      <sz val="12"/>
      <color indexed="8"/>
      <name val="Arial"/>
      <family val="2"/>
    </font>
    <font>
      <b/>
      <u val="single"/>
      <sz val="14"/>
      <color indexed="8"/>
      <name val="Arial"/>
      <family val="2"/>
    </font>
    <font>
      <u val="single"/>
      <sz val="10"/>
      <color indexed="36"/>
      <name val="Arial"/>
      <family val="2"/>
    </font>
    <font>
      <u val="single"/>
      <sz val="10"/>
      <color indexed="12"/>
      <name val="Arial"/>
      <family val="2"/>
    </font>
    <font>
      <sz val="12"/>
      <name val="Times New Roman"/>
      <family val="1"/>
    </font>
    <font>
      <sz val="8"/>
      <name val="Arial"/>
      <family val="2"/>
    </font>
    <font>
      <vertAlign val="superscript"/>
      <sz val="8"/>
      <name val="Arial"/>
      <family val="2"/>
    </font>
    <font>
      <b/>
      <sz val="16"/>
      <name val="Arial"/>
      <family val="2"/>
    </font>
    <font>
      <b/>
      <sz val="8"/>
      <name val="Arial"/>
      <family val="2"/>
    </font>
    <font>
      <b/>
      <sz val="9"/>
      <name val="Arial"/>
      <family val="2"/>
    </font>
    <font>
      <b/>
      <sz val="6"/>
      <name val="Arial"/>
      <family val="2"/>
    </font>
    <font>
      <sz val="6"/>
      <name val="Arial"/>
      <family val="2"/>
    </font>
    <font>
      <vertAlign val="superscript"/>
      <sz val="6"/>
      <name val="Arial"/>
      <family val="2"/>
    </font>
    <font>
      <b/>
      <vertAlign val="superscript"/>
      <sz val="8"/>
      <name val="Arial"/>
      <family val="2"/>
    </font>
    <font>
      <sz val="7"/>
      <name val="Arial"/>
      <family val="2"/>
    </font>
    <font>
      <sz val="5"/>
      <name val="Arial"/>
      <family val="2"/>
    </font>
    <font>
      <b/>
      <sz val="18"/>
      <name val="CG Times"/>
      <family val="1"/>
    </font>
    <font>
      <sz val="10"/>
      <name val="CG Times"/>
      <family val="1"/>
    </font>
    <font>
      <b/>
      <sz val="10"/>
      <name val="CG Times"/>
      <family val="1"/>
    </font>
    <font>
      <sz val="16"/>
      <name val="Arial"/>
      <family val="2"/>
    </font>
    <font>
      <i/>
      <vertAlign val="superscript"/>
      <sz val="10"/>
      <name val="Times New Roman"/>
      <family val="1"/>
    </font>
    <font>
      <b/>
      <sz val="11"/>
      <name val="Arial"/>
      <family val="2"/>
    </font>
    <font>
      <b/>
      <sz val="23"/>
      <name val="Arial"/>
      <family val="2"/>
    </font>
    <font>
      <b/>
      <sz val="26"/>
      <name val="Times New Roman"/>
      <family val="1"/>
    </font>
    <font>
      <i/>
      <sz val="12"/>
      <name val="Times New Roman"/>
      <family val="1"/>
    </font>
    <font>
      <sz val="12"/>
      <name val="Courier New"/>
      <family val="3"/>
    </font>
    <font>
      <i/>
      <sz val="12"/>
      <name val="Arial"/>
      <family val="2"/>
    </font>
    <font>
      <b/>
      <sz val="10"/>
      <name val="Courier New"/>
      <family val="3"/>
    </font>
    <font>
      <sz val="10"/>
      <name val="Arial Narrow"/>
      <family val="2"/>
    </font>
    <font>
      <sz val="10"/>
      <name val="Times New Roman"/>
      <family val="1"/>
    </font>
    <font>
      <sz val="9"/>
      <name val="Times New Roman"/>
      <family val="1"/>
    </font>
    <font>
      <b/>
      <sz val="11"/>
      <name val="Courier New"/>
      <family val="3"/>
    </font>
    <font>
      <b/>
      <sz val="4"/>
      <name val="Courier New"/>
      <family val="3"/>
    </font>
    <font>
      <sz val="11"/>
      <name val="Times New Roman"/>
      <family val="1"/>
    </font>
    <font>
      <i/>
      <sz val="9"/>
      <name val="Times New Roman"/>
      <family val="1"/>
    </font>
    <font>
      <b/>
      <sz val="11"/>
      <name val="Times New Roman"/>
      <family val="1"/>
    </font>
    <font>
      <b/>
      <sz val="10"/>
      <name val="Times New Roman"/>
      <family val="1"/>
    </font>
    <font>
      <sz val="8"/>
      <name val="Times New Roman"/>
      <family val="1"/>
    </font>
    <font>
      <b/>
      <sz val="25"/>
      <name val="Times New Roman"/>
      <family val="1"/>
    </font>
    <font>
      <sz val="6"/>
      <name val="Times New Roman"/>
      <family val="1"/>
    </font>
    <font>
      <b/>
      <sz val="12"/>
      <name val="Times New Roman"/>
      <family val="1"/>
    </font>
    <font>
      <sz val="13"/>
      <name val="Times New Roman"/>
      <family val="1"/>
    </font>
    <font>
      <sz val="12"/>
      <name val="Arial Narrow"/>
      <family val="2"/>
    </font>
    <font>
      <sz val="11"/>
      <name val="Arial Narrow"/>
      <family val="2"/>
    </font>
    <font>
      <sz val="13"/>
      <name val="Arial Narrow"/>
      <family val="2"/>
    </font>
    <font>
      <sz val="10"/>
      <name val="Courier New"/>
      <family val="3"/>
    </font>
    <font>
      <sz val="11"/>
      <name val="Arial"/>
      <family val="2"/>
    </font>
    <font>
      <sz val="19"/>
      <name val="Times New Roman"/>
      <family val="1"/>
    </font>
    <font>
      <sz val="11"/>
      <name val="Courier New"/>
      <family val="3"/>
    </font>
    <font>
      <sz val="9"/>
      <name val="Courier New"/>
      <family val="3"/>
    </font>
    <font>
      <sz val="3"/>
      <name val="Arial"/>
      <family val="2"/>
    </font>
    <font>
      <sz val="4"/>
      <name val="Arial"/>
      <family val="2"/>
    </font>
    <font>
      <b/>
      <sz val="8"/>
      <name val="Courier New"/>
      <family val="3"/>
    </font>
    <font>
      <b/>
      <i/>
      <sz val="10"/>
      <name val="Courier New"/>
      <family val="3"/>
    </font>
    <font>
      <b/>
      <i/>
      <sz val="10"/>
      <name val="Times New Roman"/>
      <family val="1"/>
    </font>
    <font>
      <i/>
      <sz val="10"/>
      <name val="Courier New"/>
      <family val="3"/>
    </font>
    <font>
      <b/>
      <sz val="7"/>
      <name val="Arial"/>
      <family val="2"/>
    </font>
    <font>
      <b/>
      <sz val="2"/>
      <name val="Arial"/>
      <family val="2"/>
    </font>
    <font>
      <b/>
      <u val="single"/>
      <sz val="16"/>
      <name val="Arial"/>
      <family val="2"/>
    </font>
    <font>
      <vertAlign val="superscript"/>
      <sz val="7"/>
      <name val="Arial"/>
      <family val="2"/>
    </font>
    <font>
      <b/>
      <sz val="12"/>
      <name val="Courier New"/>
      <family val="3"/>
    </font>
    <font>
      <b/>
      <sz val="9"/>
      <name val="Courier New"/>
      <family val="3"/>
    </font>
    <font>
      <b/>
      <sz val="10"/>
      <color indexed="14"/>
      <name val="Arial"/>
      <family val="2"/>
    </font>
    <font>
      <sz val="8"/>
      <name val="Tahoma"/>
      <family val="2"/>
    </font>
    <font>
      <b/>
      <sz val="8"/>
      <name val="Tahoma"/>
      <family val="2"/>
    </font>
    <font>
      <b/>
      <u val="singleAccounting"/>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8"/>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44"/>
        <bgColor indexed="64"/>
      </patternFill>
    </fill>
    <fill>
      <patternFill patternType="solid">
        <fgColor indexed="40"/>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color indexed="63"/>
      </top>
      <bottom style="thin"/>
    </border>
    <border>
      <left style="thin"/>
      <right style="double"/>
      <top>
        <color indexed="63"/>
      </top>
      <bottom style="thin"/>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medium"/>
      <bottom style="thin"/>
    </border>
    <border>
      <left>
        <color indexed="63"/>
      </left>
      <right style="thin"/>
      <top>
        <color indexed="63"/>
      </top>
      <bottom style="thin"/>
    </border>
    <border>
      <left style="thin"/>
      <right style="medium"/>
      <top style="medium"/>
      <bottom>
        <color indexed="63"/>
      </bottom>
    </border>
    <border>
      <left style="thin"/>
      <right style="thin"/>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thin"/>
      <right style="thin"/>
      <top style="thin"/>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color indexed="63"/>
      </top>
      <bottom style="hair"/>
    </border>
    <border>
      <left style="medium"/>
      <right style="thin"/>
      <top style="hair"/>
      <bottom style="hair"/>
    </border>
    <border>
      <left style="medium"/>
      <right style="thin"/>
      <top style="hair"/>
      <bottom style="medium"/>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style="double"/>
      <right>
        <color indexed="63"/>
      </right>
      <top>
        <color indexed="63"/>
      </top>
      <bottom>
        <color indexed="63"/>
      </bottom>
    </border>
    <border>
      <left>
        <color indexed="63"/>
      </left>
      <right style="double"/>
      <top>
        <color indexed="63"/>
      </top>
      <bottom>
        <color indexed="63"/>
      </bottom>
    </border>
    <border>
      <left style="medium"/>
      <right style="thin"/>
      <top style="hair"/>
      <bottom style="thin"/>
    </border>
    <border>
      <left style="double"/>
      <right style="thin"/>
      <top style="thin"/>
      <bottom style="double"/>
    </border>
    <border>
      <left style="thin"/>
      <right style="double"/>
      <top style="thin"/>
      <bottom style="double"/>
    </border>
    <border>
      <left>
        <color indexed="63"/>
      </left>
      <right style="double"/>
      <top style="double"/>
      <bottom style="double"/>
    </border>
    <border>
      <left style="thin"/>
      <right style="thin"/>
      <top style="double"/>
      <bottom style="thin"/>
    </border>
    <border>
      <left>
        <color indexed="63"/>
      </left>
      <right style="double"/>
      <top style="double"/>
      <bottom style="thin"/>
    </border>
    <border>
      <left>
        <color indexed="63"/>
      </left>
      <right style="double"/>
      <top style="thin"/>
      <bottom style="thin"/>
    </border>
    <border>
      <left style="double"/>
      <right style="thin"/>
      <top style="thin"/>
      <bottom>
        <color indexed="63"/>
      </bottom>
    </border>
    <border>
      <left>
        <color indexed="63"/>
      </left>
      <right style="double"/>
      <top style="thin"/>
      <bottom>
        <color indexed="63"/>
      </bottom>
    </border>
    <border>
      <left style="double"/>
      <right>
        <color indexed="63"/>
      </right>
      <top style="medium"/>
      <bottom>
        <color indexed="63"/>
      </bottom>
    </border>
    <border>
      <left style="double"/>
      <right>
        <color indexed="63"/>
      </right>
      <top style="double"/>
      <bottom>
        <color indexed="63"/>
      </bottom>
    </border>
    <border>
      <left style="double"/>
      <right>
        <color indexed="63"/>
      </right>
      <top>
        <color indexed="63"/>
      </top>
      <bottom style="double"/>
    </border>
    <border>
      <left style="double"/>
      <right>
        <color indexed="63"/>
      </right>
      <top style="double"/>
      <bottom style="double"/>
    </border>
    <border>
      <left style="medium"/>
      <right style="thin"/>
      <top style="thin"/>
      <bottom style="thin"/>
    </border>
    <border>
      <left style="thin"/>
      <right style="thin"/>
      <top>
        <color indexed="63"/>
      </top>
      <bottom style="double"/>
    </border>
    <border>
      <left>
        <color indexed="63"/>
      </left>
      <right style="double"/>
      <top>
        <color indexed="63"/>
      </top>
      <bottom style="double"/>
    </border>
    <border>
      <left style="double"/>
      <right style="thin"/>
      <top>
        <color indexed="63"/>
      </top>
      <bottom>
        <color indexed="63"/>
      </bottom>
    </border>
    <border>
      <left style="thin"/>
      <right style="double"/>
      <top>
        <color indexed="63"/>
      </top>
      <bottom>
        <color indexed="63"/>
      </bottom>
    </border>
    <border>
      <left style="double"/>
      <right style="thin"/>
      <top>
        <color indexed="63"/>
      </top>
      <bottom style="double"/>
    </border>
    <border>
      <left style="thin"/>
      <right style="double"/>
      <top>
        <color indexed="63"/>
      </top>
      <bottom style="double"/>
    </border>
    <border>
      <left style="thin"/>
      <right>
        <color indexed="63"/>
      </right>
      <top style="medium"/>
      <bottom style="thin"/>
    </border>
    <border>
      <left style="medium"/>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2" fillId="2" borderId="0" applyNumberFormat="0" applyBorder="0" applyAlignment="0" applyProtection="0"/>
    <xf numFmtId="0" fontId="112" fillId="3" borderId="0" applyNumberFormat="0" applyBorder="0" applyAlignment="0" applyProtection="0"/>
    <xf numFmtId="0" fontId="112" fillId="4" borderId="0" applyNumberFormat="0" applyBorder="0" applyAlignment="0" applyProtection="0"/>
    <xf numFmtId="0" fontId="112" fillId="5" borderId="0" applyNumberFormat="0" applyBorder="0" applyAlignment="0" applyProtection="0"/>
    <xf numFmtId="0" fontId="112" fillId="6" borderId="0" applyNumberFormat="0" applyBorder="0" applyAlignment="0" applyProtection="0"/>
    <xf numFmtId="0" fontId="112" fillId="7" borderId="0" applyNumberFormat="0" applyBorder="0" applyAlignment="0" applyProtection="0"/>
    <xf numFmtId="0" fontId="112" fillId="8" borderId="0" applyNumberFormat="0" applyBorder="0" applyAlignment="0" applyProtection="0"/>
    <xf numFmtId="0" fontId="112" fillId="9" borderId="0" applyNumberFormat="0" applyBorder="0" applyAlignment="0" applyProtection="0"/>
    <xf numFmtId="0" fontId="112" fillId="10" borderId="0" applyNumberFormat="0" applyBorder="0" applyAlignment="0" applyProtection="0"/>
    <xf numFmtId="0" fontId="112" fillId="11" borderId="0" applyNumberFormat="0" applyBorder="0" applyAlignment="0" applyProtection="0"/>
    <xf numFmtId="0" fontId="112" fillId="12" borderId="0" applyNumberFormat="0" applyBorder="0" applyAlignment="0" applyProtection="0"/>
    <xf numFmtId="0" fontId="112" fillId="13" borderId="0" applyNumberFormat="0" applyBorder="0" applyAlignment="0" applyProtection="0"/>
    <xf numFmtId="0" fontId="113" fillId="14" borderId="0" applyNumberFormat="0" applyBorder="0" applyAlignment="0" applyProtection="0"/>
    <xf numFmtId="0" fontId="113"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22" borderId="0" applyNumberFormat="0" applyBorder="0" applyAlignment="0" applyProtection="0"/>
    <xf numFmtId="0" fontId="113" fillId="23"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4" fillId="26" borderId="0" applyNumberFormat="0" applyBorder="0" applyAlignment="0" applyProtection="0"/>
    <xf numFmtId="0" fontId="115" fillId="27" borderId="1" applyNumberFormat="0" applyAlignment="0" applyProtection="0"/>
    <xf numFmtId="0" fontId="1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7" fillId="0" borderId="0" applyNumberFormat="0" applyFill="0" applyBorder="0" applyAlignment="0" applyProtection="0"/>
    <xf numFmtId="0" fontId="31" fillId="0" borderId="0" applyNumberFormat="0" applyFill="0" applyBorder="0" applyAlignment="0" applyProtection="0"/>
    <xf numFmtId="0" fontId="118" fillId="29" borderId="0" applyNumberFormat="0" applyBorder="0" applyAlignment="0" applyProtection="0"/>
    <xf numFmtId="0" fontId="119" fillId="0" borderId="3" applyNumberFormat="0" applyFill="0" applyAlignment="0" applyProtection="0"/>
    <xf numFmtId="0" fontId="120" fillId="0" borderId="4" applyNumberFormat="0" applyFill="0" applyAlignment="0" applyProtection="0"/>
    <xf numFmtId="0" fontId="121" fillId="0" borderId="5" applyNumberFormat="0" applyFill="0" applyAlignment="0" applyProtection="0"/>
    <xf numFmtId="0" fontId="121" fillId="0" borderId="0" applyNumberFormat="0" applyFill="0" applyBorder="0" applyAlignment="0" applyProtection="0"/>
    <xf numFmtId="0" fontId="32" fillId="0" borderId="0" applyNumberFormat="0" applyFill="0" applyBorder="0" applyAlignment="0" applyProtection="0"/>
    <xf numFmtId="0" fontId="122" fillId="30" borderId="1" applyNumberFormat="0" applyAlignment="0" applyProtection="0"/>
    <xf numFmtId="0" fontId="123" fillId="0" borderId="6" applyNumberFormat="0" applyFill="0" applyAlignment="0" applyProtection="0"/>
    <xf numFmtId="0" fontId="124" fillId="31" borderId="0" applyNumberFormat="0" applyBorder="0" applyAlignment="0" applyProtection="0"/>
    <xf numFmtId="0" fontId="0" fillId="32" borderId="7" applyNumberFormat="0" applyFont="0" applyAlignment="0" applyProtection="0"/>
    <xf numFmtId="0" fontId="125" fillId="27" borderId="8" applyNumberFormat="0" applyAlignment="0" applyProtection="0"/>
    <xf numFmtId="9" fontId="0" fillId="0" borderId="0" applyFont="0" applyFill="0" applyBorder="0" applyAlignment="0" applyProtection="0"/>
    <xf numFmtId="0" fontId="126" fillId="0" borderId="0" applyNumberFormat="0" applyFill="0" applyBorder="0" applyAlignment="0" applyProtection="0"/>
    <xf numFmtId="0" fontId="127" fillId="0" borderId="9" applyNumberFormat="0" applyFill="0" applyAlignment="0" applyProtection="0"/>
    <xf numFmtId="0" fontId="128" fillId="0" borderId="0" applyNumberFormat="0" applyFill="0" applyBorder="0" applyAlignment="0" applyProtection="0"/>
  </cellStyleXfs>
  <cellXfs count="1340">
    <xf numFmtId="0" fontId="0" fillId="0" borderId="0" xfId="0" applyAlignment="1">
      <alignment/>
    </xf>
    <xf numFmtId="0" fontId="1" fillId="0" borderId="0" xfId="0" applyFont="1" applyAlignment="1">
      <alignment horizontal="justify" vertical="top"/>
    </xf>
    <xf numFmtId="0" fontId="0" fillId="0" borderId="0" xfId="0" applyFont="1" applyAlignment="1">
      <alignment horizontal="center"/>
    </xf>
    <xf numFmtId="4" fontId="0" fillId="0" borderId="0" xfId="0" applyNumberFormat="1" applyFont="1" applyAlignment="1">
      <alignment horizontal="center"/>
    </xf>
    <xf numFmtId="0" fontId="0" fillId="0" borderId="0" xfId="0" applyFont="1" applyAlignment="1">
      <alignment horizontal="justify" vertical="top"/>
    </xf>
    <xf numFmtId="0" fontId="3" fillId="0" borderId="0" xfId="0" applyFont="1" applyAlignment="1">
      <alignment horizontal="center"/>
    </xf>
    <xf numFmtId="4" fontId="3" fillId="0" borderId="0" xfId="0" applyNumberFormat="1" applyFont="1" applyFill="1" applyAlignment="1">
      <alignment horizontal="center"/>
    </xf>
    <xf numFmtId="0" fontId="3" fillId="0" borderId="0" xfId="0" applyFont="1" applyAlignment="1">
      <alignment horizontal="justify" vertical="top"/>
    </xf>
    <xf numFmtId="0" fontId="6" fillId="0" borderId="0" xfId="0" applyFont="1" applyAlignment="1">
      <alignment horizontal="justify" vertical="top"/>
    </xf>
    <xf numFmtId="0" fontId="7" fillId="0" borderId="0" xfId="0" applyFont="1" applyAlignment="1">
      <alignment horizontal="justify" vertical="top"/>
    </xf>
    <xf numFmtId="0" fontId="3" fillId="0" borderId="0" xfId="0" applyFont="1" applyFill="1" applyBorder="1" applyAlignment="1">
      <alignment horizontal="justify" vertical="top"/>
    </xf>
    <xf numFmtId="0" fontId="3" fillId="0" borderId="0" xfId="0" applyFont="1" applyAlignment="1">
      <alignment horizontal="right" vertical="top"/>
    </xf>
    <xf numFmtId="0" fontId="7" fillId="0" borderId="0" xfId="0" applyFont="1" applyAlignment="1">
      <alignment horizontal="center"/>
    </xf>
    <xf numFmtId="0" fontId="3" fillId="0" borderId="0" xfId="0" applyFont="1" applyBorder="1" applyAlignment="1">
      <alignment horizontal="justify" vertical="top"/>
    </xf>
    <xf numFmtId="0" fontId="3" fillId="0" borderId="0" xfId="0" applyFont="1" applyBorder="1" applyAlignment="1">
      <alignment horizontal="center"/>
    </xf>
    <xf numFmtId="4" fontId="3" fillId="0" borderId="0" xfId="42" applyNumberFormat="1" applyFont="1" applyFill="1" applyBorder="1" applyAlignment="1">
      <alignment horizontal="center"/>
    </xf>
    <xf numFmtId="0" fontId="0" fillId="0" borderId="0" xfId="0" applyFont="1" applyAlignment="1">
      <alignment horizontal="right" vertical="top"/>
    </xf>
    <xf numFmtId="0" fontId="0" fillId="0" borderId="0" xfId="0" applyFont="1" applyBorder="1" applyAlignment="1">
      <alignment horizontal="center" vertical="top"/>
    </xf>
    <xf numFmtId="0" fontId="0" fillId="0" borderId="0" xfId="0" applyFont="1" applyBorder="1" applyAlignment="1">
      <alignment horizontal="justify" vertical="top"/>
    </xf>
    <xf numFmtId="0" fontId="0" fillId="0" borderId="0" xfId="0" applyFont="1" applyBorder="1" applyAlignment="1">
      <alignment horizontal="center"/>
    </xf>
    <xf numFmtId="4" fontId="0" fillId="0" borderId="0" xfId="0" applyNumberFormat="1" applyFont="1" applyBorder="1" applyAlignment="1">
      <alignment horizontal="center"/>
    </xf>
    <xf numFmtId="0" fontId="3" fillId="33" borderId="0" xfId="0" applyFont="1" applyFill="1" applyBorder="1" applyAlignment="1">
      <alignment horizontal="center" vertical="top"/>
    </xf>
    <xf numFmtId="0" fontId="3" fillId="33" borderId="0" xfId="0" applyFont="1" applyFill="1" applyBorder="1" applyAlignment="1">
      <alignment horizontal="center"/>
    </xf>
    <xf numFmtId="4" fontId="3" fillId="33" borderId="0" xfId="0" applyNumberFormat="1" applyFont="1" applyFill="1" applyBorder="1" applyAlignment="1">
      <alignment horizontal="center"/>
    </xf>
    <xf numFmtId="0" fontId="0" fillId="33" borderId="0" xfId="0" applyFont="1" applyFill="1" applyBorder="1" applyAlignment="1">
      <alignment horizontal="justify" vertical="top"/>
    </xf>
    <xf numFmtId="0" fontId="7" fillId="0" borderId="0" xfId="0" applyNumberFormat="1" applyFont="1" applyBorder="1" applyAlignment="1" applyProtection="1">
      <alignment horizontal="justify" vertical="top"/>
      <protection/>
    </xf>
    <xf numFmtId="4" fontId="0" fillId="0" borderId="0" xfId="42" applyNumberFormat="1" applyFont="1" applyBorder="1" applyAlignment="1">
      <alignment horizontal="center"/>
    </xf>
    <xf numFmtId="0" fontId="0" fillId="0" borderId="0" xfId="0" applyNumberFormat="1" applyFont="1" applyBorder="1" applyAlignment="1" applyProtection="1">
      <alignment horizontal="justify" vertical="top"/>
      <protection/>
    </xf>
    <xf numFmtId="0" fontId="3" fillId="0" borderId="0" xfId="0" applyNumberFormat="1" applyFont="1" applyBorder="1" applyAlignment="1" applyProtection="1">
      <alignment horizontal="justify" vertical="top"/>
      <protection/>
    </xf>
    <xf numFmtId="0" fontId="0" fillId="0" borderId="0" xfId="0" applyNumberFormat="1" applyFont="1" applyBorder="1" applyAlignment="1">
      <alignment horizontal="justify" vertical="top"/>
    </xf>
    <xf numFmtId="43" fontId="0" fillId="0" borderId="0" xfId="42" applyFont="1" applyBorder="1" applyAlignment="1" applyProtection="1">
      <alignment horizontal="right" vertical="top"/>
      <protection/>
    </xf>
    <xf numFmtId="43" fontId="0" fillId="0" borderId="0" xfId="42" applyFont="1" applyBorder="1" applyAlignment="1" applyProtection="1">
      <alignment horizontal="justify" vertical="top"/>
      <protection/>
    </xf>
    <xf numFmtId="4" fontId="3" fillId="0" borderId="0" xfId="42" applyNumberFormat="1" applyFont="1" applyBorder="1" applyAlignment="1">
      <alignment horizontal="center"/>
    </xf>
    <xf numFmtId="0" fontId="0" fillId="0" borderId="0" xfId="0" applyFont="1" applyFill="1" applyBorder="1" applyAlignment="1">
      <alignment horizontal="justify" vertical="top"/>
    </xf>
    <xf numFmtId="0" fontId="0" fillId="0" borderId="0" xfId="0" applyFont="1" applyFill="1" applyBorder="1" applyAlignment="1">
      <alignment horizontal="center"/>
    </xf>
    <xf numFmtId="4" fontId="0" fillId="0" borderId="0" xfId="0" applyNumberFormat="1" applyFont="1" applyFill="1" applyBorder="1" applyAlignment="1">
      <alignment horizontal="center"/>
    </xf>
    <xf numFmtId="0" fontId="0" fillId="0" borderId="0" xfId="0" applyFont="1" applyFill="1" applyAlignment="1">
      <alignment horizontal="justify" vertical="top"/>
    </xf>
    <xf numFmtId="4" fontId="0" fillId="0" borderId="0" xfId="0" applyNumberFormat="1" applyFont="1" applyFill="1" applyBorder="1" applyAlignment="1">
      <alignment horizontal="center" wrapText="1"/>
    </xf>
    <xf numFmtId="0" fontId="0" fillId="0" borderId="0" xfId="0" applyFont="1" applyFill="1" applyBorder="1" applyAlignment="1">
      <alignment horizontal="right" vertical="top"/>
    </xf>
    <xf numFmtId="0" fontId="0" fillId="0" borderId="0" xfId="0" applyFont="1" applyFill="1" applyBorder="1" applyAlignment="1">
      <alignment horizontal="center" wrapText="1"/>
    </xf>
    <xf numFmtId="0" fontId="6" fillId="0" borderId="0" xfId="0" applyFont="1" applyBorder="1" applyAlignment="1">
      <alignment horizontal="center"/>
    </xf>
    <xf numFmtId="4" fontId="6" fillId="0" borderId="0" xfId="42" applyNumberFormat="1" applyFont="1" applyBorder="1" applyAlignment="1">
      <alignment horizontal="center"/>
    </xf>
    <xf numFmtId="0" fontId="0" fillId="0" borderId="0" xfId="0" applyFont="1" applyAlignment="1">
      <alignment horizontal="left" vertical="top" indent="1"/>
    </xf>
    <xf numFmtId="0" fontId="0" fillId="0" borderId="0" xfId="0" applyFont="1" applyAlignment="1">
      <alignment/>
    </xf>
    <xf numFmtId="0" fontId="10" fillId="0" borderId="0" xfId="0" applyNumberFormat="1" applyFont="1" applyBorder="1" applyAlignment="1" applyProtection="1">
      <alignment horizontal="justify" vertical="top"/>
      <protection/>
    </xf>
    <xf numFmtId="0" fontId="10" fillId="0" borderId="0" xfId="0" applyFont="1" applyBorder="1" applyAlignment="1">
      <alignment horizontal="center"/>
    </xf>
    <xf numFmtId="2" fontId="0" fillId="0" borderId="0" xfId="0" applyNumberFormat="1" applyFont="1" applyBorder="1" applyAlignment="1" applyProtection="1">
      <alignment horizontal="justify" vertical="top"/>
      <protection/>
    </xf>
    <xf numFmtId="4" fontId="0" fillId="0" borderId="0" xfId="0" applyNumberFormat="1" applyFont="1" applyBorder="1" applyAlignment="1" applyProtection="1">
      <alignment horizontal="center"/>
      <protection/>
    </xf>
    <xf numFmtId="0" fontId="0" fillId="0" borderId="0" xfId="0" applyFont="1" applyBorder="1" applyAlignment="1">
      <alignment horizontal="center" vertical="top" wrapText="1"/>
    </xf>
    <xf numFmtId="0" fontId="0" fillId="0" borderId="0" xfId="0" applyFont="1" applyBorder="1" applyAlignment="1">
      <alignment horizontal="justify" vertical="top" wrapText="1"/>
    </xf>
    <xf numFmtId="4" fontId="0" fillId="0" borderId="0" xfId="0" applyNumberFormat="1" applyFont="1" applyBorder="1" applyAlignment="1">
      <alignment horizontal="justify" vertical="top" wrapText="1"/>
    </xf>
    <xf numFmtId="0" fontId="0" fillId="0" borderId="0" xfId="0" applyFont="1" applyBorder="1" applyAlignment="1">
      <alignment horizontal="right" vertical="top"/>
    </xf>
    <xf numFmtId="2" fontId="11" fillId="0" borderId="0" xfId="0" applyNumberFormat="1" applyFont="1" applyBorder="1" applyAlignment="1">
      <alignment horizontal="center"/>
    </xf>
    <xf numFmtId="0" fontId="12" fillId="0" borderId="0" xfId="0" applyFont="1" applyBorder="1" applyAlignment="1">
      <alignment horizontal="justify" vertical="top"/>
    </xf>
    <xf numFmtId="2" fontId="0" fillId="0" borderId="0" xfId="0" applyNumberFormat="1" applyFont="1" applyBorder="1" applyAlignment="1">
      <alignment horizontal="justify" vertical="top"/>
    </xf>
    <xf numFmtId="0" fontId="13" fillId="0" borderId="0" xfId="0" applyFont="1" applyBorder="1" applyAlignment="1">
      <alignment horizontal="center" vertical="top"/>
    </xf>
    <xf numFmtId="2" fontId="13" fillId="0" borderId="0" xfId="0" applyNumberFormat="1" applyFont="1" applyBorder="1" applyAlignment="1">
      <alignment horizontal="justify" vertical="top"/>
    </xf>
    <xf numFmtId="2" fontId="10" fillId="0" borderId="0" xfId="0" applyNumberFormat="1" applyFont="1" applyBorder="1" applyAlignment="1">
      <alignment horizontal="justify" vertical="top"/>
    </xf>
    <xf numFmtId="0" fontId="10" fillId="0" borderId="0" xfId="0" applyFont="1" applyAlignment="1">
      <alignment/>
    </xf>
    <xf numFmtId="0" fontId="10" fillId="0" borderId="0" xfId="0" applyFont="1" applyBorder="1" applyAlignment="1">
      <alignment horizontal="right" vertical="top"/>
    </xf>
    <xf numFmtId="0" fontId="0" fillId="0" borderId="0" xfId="0" applyFont="1" applyAlignment="1">
      <alignment vertical="top"/>
    </xf>
    <xf numFmtId="4" fontId="0" fillId="0" borderId="0" xfId="0" applyNumberFormat="1" applyFont="1" applyBorder="1" applyAlignment="1">
      <alignment horizontal="justify" vertical="top"/>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xf>
    <xf numFmtId="2" fontId="3" fillId="0" borderId="0" xfId="0" applyNumberFormat="1" applyFont="1" applyBorder="1" applyAlignment="1">
      <alignment horizontal="justify" vertical="top"/>
    </xf>
    <xf numFmtId="0" fontId="3" fillId="0" borderId="0" xfId="0" applyFont="1" applyAlignment="1">
      <alignment/>
    </xf>
    <xf numFmtId="2" fontId="0" fillId="0" borderId="0" xfId="0" applyNumberFormat="1" applyFont="1" applyBorder="1" applyAlignment="1">
      <alignment horizontal="right" vertical="top"/>
    </xf>
    <xf numFmtId="4" fontId="0" fillId="0" borderId="0" xfId="0" applyNumberFormat="1" applyFont="1" applyBorder="1" applyAlignment="1">
      <alignment/>
    </xf>
    <xf numFmtId="0" fontId="3" fillId="0" borderId="0" xfId="0" applyNumberFormat="1" applyFont="1" applyAlignment="1" applyProtection="1">
      <alignment horizontal="justify" vertical="top"/>
      <protection/>
    </xf>
    <xf numFmtId="0" fontId="5" fillId="0" borderId="0" xfId="0" applyFont="1" applyFill="1" applyAlignment="1">
      <alignment/>
    </xf>
    <xf numFmtId="0" fontId="0" fillId="0" borderId="0" xfId="0" applyNumberFormat="1" applyFont="1" applyAlignment="1" applyProtection="1">
      <alignment horizontal="justify" vertical="top"/>
      <protection/>
    </xf>
    <xf numFmtId="0" fontId="2" fillId="0" borderId="0" xfId="0" applyFont="1" applyFill="1" applyAlignment="1">
      <alignment/>
    </xf>
    <xf numFmtId="2" fontId="0" fillId="0" borderId="0" xfId="0" applyNumberFormat="1" applyFont="1" applyBorder="1" applyAlignment="1">
      <alignment horizontal="center"/>
    </xf>
    <xf numFmtId="4" fontId="0" fillId="0" borderId="0" xfId="0" applyNumberFormat="1" applyFont="1" applyAlignment="1">
      <alignment/>
    </xf>
    <xf numFmtId="0" fontId="13" fillId="0" borderId="0" xfId="0" applyFont="1" applyAlignment="1">
      <alignment horizontal="center" vertical="top"/>
    </xf>
    <xf numFmtId="0" fontId="14" fillId="0" borderId="0" xfId="0" applyFont="1" applyAlignment="1">
      <alignment horizontal="center" vertical="top"/>
    </xf>
    <xf numFmtId="0" fontId="15" fillId="0" borderId="0" xfId="0" applyFont="1" applyAlignment="1">
      <alignment horizontal="center" vertical="top"/>
    </xf>
    <xf numFmtId="0" fontId="14" fillId="33" borderId="0" xfId="0" applyFont="1" applyFill="1" applyBorder="1" applyAlignment="1">
      <alignment horizontal="center" vertical="top"/>
    </xf>
    <xf numFmtId="0" fontId="14" fillId="0" borderId="0" xfId="0" applyNumberFormat="1" applyFont="1" applyBorder="1" applyAlignment="1">
      <alignment horizontal="center" vertical="top"/>
    </xf>
    <xf numFmtId="2" fontId="14" fillId="0" borderId="0" xfId="0" applyNumberFormat="1" applyFont="1" applyBorder="1" applyAlignment="1">
      <alignment horizontal="center" vertical="top"/>
    </xf>
    <xf numFmtId="0" fontId="13" fillId="0" borderId="0" xfId="0" applyNumberFormat="1" applyFont="1" applyAlignment="1">
      <alignment horizontal="center" vertical="justify"/>
    </xf>
    <xf numFmtId="164" fontId="14" fillId="0" borderId="0" xfId="0" applyNumberFormat="1" applyFont="1" applyAlignment="1" quotePrefix="1">
      <alignment horizontal="center" vertical="justify"/>
    </xf>
    <xf numFmtId="0" fontId="13" fillId="0" borderId="0" xfId="0" applyNumberFormat="1" applyFont="1" applyAlignment="1" applyProtection="1">
      <alignment horizontal="center" vertical="justify"/>
      <protection/>
    </xf>
    <xf numFmtId="0" fontId="0" fillId="0" borderId="0" xfId="0" applyNumberFormat="1" applyFont="1" applyAlignment="1" applyProtection="1">
      <alignment horizontal="justify" vertical="justify"/>
      <protection/>
    </xf>
    <xf numFmtId="0" fontId="3" fillId="0" borderId="0" xfId="0" applyFont="1" applyAlignment="1">
      <alignment horizontal="center" vertical="top"/>
    </xf>
    <xf numFmtId="43" fontId="0" fillId="0" borderId="0" xfId="42" applyFont="1" applyAlignment="1">
      <alignment horizontal="center"/>
    </xf>
    <xf numFmtId="0" fontId="0" fillId="0" borderId="0" xfId="0" applyFont="1" applyAlignment="1">
      <alignment horizontal="center" vertical="top"/>
    </xf>
    <xf numFmtId="0" fontId="0" fillId="0" borderId="0" xfId="0" applyFont="1" applyAlignment="1">
      <alignment horizontal="center" vertical="justify"/>
    </xf>
    <xf numFmtId="0" fontId="0" fillId="0" borderId="0" xfId="0" applyFont="1" applyAlignment="1">
      <alignment vertical="justify"/>
    </xf>
    <xf numFmtId="43" fontId="0" fillId="0" borderId="0" xfId="42" applyFont="1" applyAlignment="1">
      <alignment horizontal="right" vertical="justify"/>
    </xf>
    <xf numFmtId="9" fontId="2" fillId="0" borderId="0" xfId="0" applyNumberFormat="1" applyFont="1" applyFill="1" applyAlignment="1">
      <alignment/>
    </xf>
    <xf numFmtId="0" fontId="16" fillId="0" borderId="0" xfId="0" applyFont="1" applyAlignment="1">
      <alignment horizontal="center" vertical="justify"/>
    </xf>
    <xf numFmtId="43" fontId="17" fillId="0" borderId="0" xfId="42" applyFont="1" applyFill="1" applyAlignment="1">
      <alignment vertical="justify"/>
    </xf>
    <xf numFmtId="9" fontId="17" fillId="0" borderId="0" xfId="0" applyNumberFormat="1" applyFont="1" applyFill="1" applyAlignment="1">
      <alignment/>
    </xf>
    <xf numFmtId="0" fontId="3" fillId="0" borderId="0" xfId="0" applyFont="1" applyAlignment="1">
      <alignment horizontal="center" vertical="justify"/>
    </xf>
    <xf numFmtId="0" fontId="3" fillId="0" borderId="0" xfId="0" applyFont="1" applyAlignment="1">
      <alignment vertical="justify"/>
    </xf>
    <xf numFmtId="43" fontId="5" fillId="0" borderId="0" xfId="42" applyFont="1" applyFill="1" applyAlignment="1">
      <alignment vertical="justify"/>
    </xf>
    <xf numFmtId="9" fontId="5" fillId="0" borderId="0" xfId="0" applyNumberFormat="1" applyFont="1" applyFill="1" applyAlignment="1">
      <alignment/>
    </xf>
    <xf numFmtId="0" fontId="6" fillId="0" borderId="0" xfId="0" applyFont="1" applyAlignment="1">
      <alignment horizontal="center" vertical="top"/>
    </xf>
    <xf numFmtId="0" fontId="4" fillId="0" borderId="0" xfId="0" applyNumberFormat="1" applyFont="1" applyAlignment="1" applyProtection="1">
      <alignment horizontal="justify" vertical="justify"/>
      <protection/>
    </xf>
    <xf numFmtId="0" fontId="6" fillId="0" borderId="0" xfId="0" applyNumberFormat="1" applyFont="1" applyAlignment="1">
      <alignment horizontal="center" vertical="justify"/>
    </xf>
    <xf numFmtId="0" fontId="6" fillId="0" borderId="0" xfId="0" applyFont="1" applyAlignment="1">
      <alignment/>
    </xf>
    <xf numFmtId="43" fontId="9" fillId="0" borderId="0" xfId="42" applyFont="1" applyFill="1" applyAlignment="1" applyProtection="1">
      <alignment vertical="justify"/>
      <protection locked="0"/>
    </xf>
    <xf numFmtId="9" fontId="9" fillId="0" borderId="0" xfId="0" applyNumberFormat="1" applyFont="1" applyFill="1" applyAlignment="1">
      <alignment/>
    </xf>
    <xf numFmtId="0" fontId="3" fillId="0" borderId="0" xfId="0" applyNumberFormat="1" applyFont="1" applyAlignment="1">
      <alignment horizontal="center" vertical="justify"/>
    </xf>
    <xf numFmtId="0" fontId="3" fillId="0" borderId="0" xfId="0" applyNumberFormat="1" applyFont="1" applyAlignment="1">
      <alignment horizontal="justify" vertical="justify"/>
    </xf>
    <xf numFmtId="43" fontId="5" fillId="0" borderId="0" xfId="42" applyFont="1" applyFill="1" applyAlignment="1" applyProtection="1">
      <alignment vertical="justify"/>
      <protection locked="0"/>
    </xf>
    <xf numFmtId="43" fontId="5" fillId="0" borderId="0" xfId="42" applyFont="1" applyFill="1" applyAlignment="1" applyProtection="1">
      <alignment horizontal="center" vertical="justify"/>
      <protection/>
    </xf>
    <xf numFmtId="0" fontId="3" fillId="0" borderId="0" xfId="0" applyNumberFormat="1" applyFont="1" applyAlignment="1" applyProtection="1">
      <alignment horizontal="justify" vertical="justify"/>
      <protection/>
    </xf>
    <xf numFmtId="2" fontId="3" fillId="0" borderId="0" xfId="0" applyNumberFormat="1" applyFont="1" applyAlignment="1">
      <alignment horizontal="center"/>
    </xf>
    <xf numFmtId="43" fontId="5" fillId="0" borderId="0" xfId="42" applyFont="1" applyFill="1" applyAlignment="1" applyProtection="1">
      <alignment horizontal="center" vertical="justify"/>
      <protection locked="0"/>
    </xf>
    <xf numFmtId="0" fontId="3" fillId="0" borderId="0" xfId="0" applyNumberFormat="1" applyFont="1" applyAlignment="1" applyProtection="1">
      <alignment horizontal="center" vertical="justify"/>
      <protection/>
    </xf>
    <xf numFmtId="0" fontId="5" fillId="0" borderId="0" xfId="0" applyNumberFormat="1" applyFont="1" applyFill="1" applyAlignment="1" applyProtection="1">
      <alignment horizontal="center" vertical="justify"/>
      <protection/>
    </xf>
    <xf numFmtId="0" fontId="3" fillId="0" borderId="0" xfId="0" applyNumberFormat="1" applyFont="1" applyFill="1" applyAlignment="1" applyProtection="1">
      <alignment horizontal="center" vertical="justify"/>
      <protection/>
    </xf>
    <xf numFmtId="0" fontId="3" fillId="0" borderId="0" xfId="0" applyNumberFormat="1" applyFont="1" applyFill="1" applyAlignment="1" applyProtection="1">
      <alignment horizontal="justify" vertical="justify"/>
      <protection/>
    </xf>
    <xf numFmtId="0" fontId="3" fillId="0" borderId="0" xfId="0" applyNumberFormat="1" applyFont="1" applyFill="1" applyAlignment="1">
      <alignment horizontal="center" vertical="justify"/>
    </xf>
    <xf numFmtId="0" fontId="5" fillId="0" borderId="0" xfId="0" applyNumberFormat="1" applyFont="1" applyFill="1" applyAlignment="1">
      <alignment horizontal="center" vertical="justify"/>
    </xf>
    <xf numFmtId="0" fontId="3" fillId="0" borderId="0" xfId="0" applyNumberFormat="1" applyFont="1" applyAlignment="1" applyProtection="1">
      <alignment horizontal="right" vertical="justify"/>
      <protection/>
    </xf>
    <xf numFmtId="0" fontId="0" fillId="0" borderId="0" xfId="0" applyNumberFormat="1" applyFont="1" applyAlignment="1" applyProtection="1">
      <alignment horizontal="center" vertical="justify"/>
      <protection/>
    </xf>
    <xf numFmtId="0" fontId="2" fillId="0" borderId="0" xfId="0" applyFont="1" applyFill="1" applyAlignment="1">
      <alignment horizontal="right" vertical="justify"/>
    </xf>
    <xf numFmtId="0" fontId="3" fillId="33" borderId="0" xfId="0" applyFont="1" applyFill="1" applyBorder="1" applyAlignment="1">
      <alignment horizontal="center" vertical="justify"/>
    </xf>
    <xf numFmtId="0" fontId="5" fillId="0" borderId="0" xfId="0" applyFont="1" applyFill="1" applyBorder="1" applyAlignment="1">
      <alignment horizontal="center" vertical="justify"/>
    </xf>
    <xf numFmtId="43" fontId="2" fillId="0" borderId="0" xfId="42" applyFont="1" applyFill="1" applyAlignment="1">
      <alignment/>
    </xf>
    <xf numFmtId="0" fontId="6" fillId="0" borderId="0" xfId="0" applyFont="1" applyAlignment="1">
      <alignment horizontal="center"/>
    </xf>
    <xf numFmtId="43" fontId="6" fillId="0" borderId="0" xfId="42" applyFont="1" applyAlignment="1">
      <alignment horizontal="center"/>
    </xf>
    <xf numFmtId="43" fontId="9" fillId="0" borderId="0" xfId="42" applyFont="1" applyFill="1" applyAlignment="1">
      <alignment/>
    </xf>
    <xf numFmtId="0" fontId="0" fillId="0" borderId="0" xfId="0" applyNumberFormat="1" applyFont="1" applyAlignment="1">
      <alignment horizontal="center" vertical="justify"/>
    </xf>
    <xf numFmtId="0" fontId="3" fillId="0" borderId="0" xfId="0" applyNumberFormat="1" applyFont="1" applyAlignment="1" quotePrefix="1">
      <alignment horizontal="center" vertical="justify"/>
    </xf>
    <xf numFmtId="43" fontId="3" fillId="0" borderId="0" xfId="42" applyFont="1" applyAlignment="1">
      <alignment horizontal="center"/>
    </xf>
    <xf numFmtId="43" fontId="5" fillId="0" borderId="0" xfId="42" applyFont="1" applyFill="1" applyAlignment="1">
      <alignment/>
    </xf>
    <xf numFmtId="0" fontId="0" fillId="0" borderId="0" xfId="0" applyNumberFormat="1" applyFont="1" applyAlignment="1" applyProtection="1" quotePrefix="1">
      <alignment horizontal="center" vertical="justify"/>
      <protection/>
    </xf>
    <xf numFmtId="0" fontId="0" fillId="0" borderId="0" xfId="0" applyNumberFormat="1" applyFont="1" applyAlignment="1">
      <alignment horizontal="justify" vertical="justify"/>
    </xf>
    <xf numFmtId="43" fontId="0" fillId="0" borderId="0" xfId="42" applyFont="1" applyAlignment="1" applyProtection="1">
      <alignment horizontal="right" vertical="justify"/>
      <protection/>
    </xf>
    <xf numFmtId="43" fontId="2" fillId="0" borderId="0" xfId="42" applyFont="1" applyFill="1" applyAlignment="1">
      <alignment horizontal="right"/>
    </xf>
    <xf numFmtId="0" fontId="13" fillId="0" borderId="0" xfId="0" applyFont="1" applyAlignment="1">
      <alignment horizontal="center"/>
    </xf>
    <xf numFmtId="0" fontId="0" fillId="0" borderId="0" xfId="0" applyNumberFormat="1" applyFont="1" applyAlignment="1" quotePrefix="1">
      <alignment horizontal="center" vertical="justify"/>
    </xf>
    <xf numFmtId="2" fontId="0" fillId="0" borderId="0" xfId="0" applyNumberFormat="1" applyFont="1" applyAlignment="1" quotePrefix="1">
      <alignment horizontal="center" vertical="justify"/>
    </xf>
    <xf numFmtId="0" fontId="13" fillId="0" borderId="0" xfId="0" applyNumberFormat="1" applyFont="1" applyBorder="1" applyAlignment="1">
      <alignment horizontal="center" vertical="justify"/>
    </xf>
    <xf numFmtId="0" fontId="0" fillId="0" borderId="0" xfId="0" applyNumberFormat="1" applyFont="1" applyBorder="1" applyAlignment="1" applyProtection="1">
      <alignment horizontal="justify" vertical="justify"/>
      <protection/>
    </xf>
    <xf numFmtId="43" fontId="13" fillId="0" borderId="0" xfId="42" applyFont="1" applyFill="1" applyAlignment="1">
      <alignment/>
    </xf>
    <xf numFmtId="0" fontId="0" fillId="0" borderId="0" xfId="0" applyFont="1" applyAlignment="1" quotePrefix="1">
      <alignment horizontal="center" vertical="justify"/>
    </xf>
    <xf numFmtId="0" fontId="0" fillId="0" borderId="0" xfId="0" applyNumberFormat="1" applyFont="1" applyBorder="1" applyAlignment="1" applyProtection="1">
      <alignment horizontal="center" vertical="justify"/>
      <protection/>
    </xf>
    <xf numFmtId="0" fontId="7" fillId="0" borderId="0" xfId="0" applyNumberFormat="1" applyFont="1" applyAlignment="1" applyProtection="1">
      <alignment horizontal="justify" vertical="justify"/>
      <protection/>
    </xf>
    <xf numFmtId="0" fontId="0" fillId="0" borderId="0" xfId="42" applyNumberFormat="1" applyFont="1" applyAlignment="1" applyProtection="1">
      <alignment horizontal="center" vertical="justify"/>
      <protection/>
    </xf>
    <xf numFmtId="2" fontId="0" fillId="0" borderId="0" xfId="0" applyNumberFormat="1" applyFont="1" applyAlignment="1" applyProtection="1">
      <alignment horizontal="center" vertical="justify"/>
      <protection/>
    </xf>
    <xf numFmtId="164" fontId="3" fillId="0" borderId="0" xfId="0" applyNumberFormat="1" applyFont="1" applyAlignment="1" quotePrefix="1">
      <alignment horizontal="center" vertical="justify"/>
    </xf>
    <xf numFmtId="164" fontId="0" fillId="0" borderId="0" xfId="0" applyNumberFormat="1" applyFont="1" applyAlignment="1" quotePrefix="1">
      <alignment horizontal="center" vertical="justify"/>
    </xf>
    <xf numFmtId="43" fontId="0" fillId="0" borderId="0" xfId="42" applyFont="1" applyAlignment="1" applyProtection="1">
      <alignment horizontal="left" vertical="justify"/>
      <protection/>
    </xf>
    <xf numFmtId="0" fontId="0" fillId="0" borderId="0" xfId="0" applyNumberFormat="1" applyFont="1" applyAlignment="1">
      <alignment horizontal="right" vertical="justify"/>
    </xf>
    <xf numFmtId="0" fontId="3" fillId="0" borderId="0" xfId="0" applyFont="1" applyBorder="1" applyAlignment="1">
      <alignment horizontal="left"/>
    </xf>
    <xf numFmtId="4" fontId="0" fillId="0" borderId="0" xfId="0" applyNumberFormat="1" applyFont="1" applyBorder="1" applyAlignment="1">
      <alignment horizontal="right"/>
    </xf>
    <xf numFmtId="0" fontId="0" fillId="0" borderId="0" xfId="0" applyFont="1" applyBorder="1" applyAlignment="1">
      <alignment horizontal="left" vertical="justify"/>
    </xf>
    <xf numFmtId="49" fontId="3" fillId="0" borderId="0" xfId="42" applyNumberFormat="1" applyFont="1" applyBorder="1" applyAlignment="1">
      <alignment horizontal="center"/>
    </xf>
    <xf numFmtId="49" fontId="3" fillId="0" borderId="0" xfId="42" applyNumberFormat="1" applyFont="1" applyBorder="1" applyAlignment="1">
      <alignment horizontal="right"/>
    </xf>
    <xf numFmtId="49" fontId="0" fillId="0" borderId="0" xfId="42" applyNumberFormat="1" applyFont="1" applyBorder="1" applyAlignment="1">
      <alignment horizontal="center" vertical="top"/>
    </xf>
    <xf numFmtId="49" fontId="0" fillId="0" borderId="0" xfId="42" applyNumberFormat="1" applyFont="1" applyBorder="1" applyAlignment="1">
      <alignment horizontal="center"/>
    </xf>
    <xf numFmtId="0" fontId="0" fillId="0" borderId="0" xfId="0" applyFont="1" applyFill="1" applyBorder="1" applyAlignment="1">
      <alignment/>
    </xf>
    <xf numFmtId="0" fontId="0" fillId="0" borderId="0" xfId="0" applyFont="1" applyBorder="1" applyAlignment="1">
      <alignment horizontal="left"/>
    </xf>
    <xf numFmtId="0" fontId="3" fillId="0" borderId="0" xfId="0" applyFont="1" applyFill="1" applyBorder="1" applyAlignment="1">
      <alignment horizontal="center"/>
    </xf>
    <xf numFmtId="4" fontId="0" fillId="0" borderId="0" xfId="0" applyNumberFormat="1" applyFont="1" applyFill="1" applyBorder="1" applyAlignment="1">
      <alignment horizontal="right"/>
    </xf>
    <xf numFmtId="0" fontId="0" fillId="0" borderId="0" xfId="0" applyFont="1" applyBorder="1" applyAlignment="1">
      <alignment horizontal="right"/>
    </xf>
    <xf numFmtId="0" fontId="0" fillId="0" borderId="0" xfId="0" applyFont="1" applyAlignment="1">
      <alignment horizontal="right"/>
    </xf>
    <xf numFmtId="0" fontId="0" fillId="0" borderId="0" xfId="0" applyAlignment="1">
      <alignment horizontal="center"/>
    </xf>
    <xf numFmtId="0" fontId="7" fillId="0" borderId="0" xfId="0" applyFont="1" applyBorder="1" applyAlignment="1">
      <alignment horizontal="justify" vertical="top"/>
    </xf>
    <xf numFmtId="0" fontId="0" fillId="0" borderId="0" xfId="0" applyFont="1" applyFill="1" applyBorder="1" applyAlignment="1">
      <alignment horizontal="center" vertical="top"/>
    </xf>
    <xf numFmtId="49" fontId="0" fillId="0" borderId="0" xfId="0" applyNumberFormat="1" applyFont="1" applyBorder="1" applyAlignment="1">
      <alignment horizontal="center" vertical="top"/>
    </xf>
    <xf numFmtId="0" fontId="3" fillId="0" borderId="0" xfId="0" applyFont="1" applyBorder="1" applyAlignment="1">
      <alignment horizontal="center" vertical="top"/>
    </xf>
    <xf numFmtId="49" fontId="3" fillId="0" borderId="0" xfId="0" applyNumberFormat="1" applyFont="1" applyBorder="1" applyAlignment="1">
      <alignment horizontal="center" vertical="top"/>
    </xf>
    <xf numFmtId="0" fontId="0" fillId="0" borderId="0" xfId="0" applyNumberFormat="1" applyFont="1" applyAlignment="1" quotePrefix="1">
      <alignment horizontal="center" vertical="top"/>
    </xf>
    <xf numFmtId="4" fontId="0" fillId="0" borderId="0" xfId="0" applyNumberFormat="1" applyFont="1" applyAlignment="1" applyProtection="1">
      <alignment horizontal="justify" vertical="justify"/>
      <protection/>
    </xf>
    <xf numFmtId="4" fontId="0" fillId="0" borderId="0" xfId="0" applyNumberFormat="1" applyFont="1" applyAlignment="1">
      <alignment horizontal="justify" vertical="top"/>
    </xf>
    <xf numFmtId="0" fontId="0" fillId="0" borderId="0" xfId="0" applyFont="1" applyBorder="1" applyAlignment="1">
      <alignment horizontal="right" vertical="top" wrapText="1"/>
    </xf>
    <xf numFmtId="166" fontId="0" fillId="0" borderId="0" xfId="0" applyNumberFormat="1" applyFont="1" applyFill="1" applyBorder="1" applyAlignment="1" applyProtection="1">
      <alignment horizontal="justify" vertical="top"/>
      <protection/>
    </xf>
    <xf numFmtId="166" fontId="0" fillId="0" borderId="0" xfId="0" applyNumberFormat="1" applyFont="1" applyFill="1" applyBorder="1" applyAlignment="1" applyProtection="1">
      <alignment horizontal="center"/>
      <protection/>
    </xf>
    <xf numFmtId="0" fontId="3" fillId="0" borderId="0" xfId="0" applyFont="1" applyBorder="1" applyAlignment="1">
      <alignment horizontal="justify" vertical="top" wrapText="1"/>
    </xf>
    <xf numFmtId="43" fontId="3" fillId="0" borderId="0" xfId="42" applyFont="1" applyBorder="1" applyAlignment="1">
      <alignment horizontal="center"/>
    </xf>
    <xf numFmtId="0" fontId="0" fillId="0" borderId="0" xfId="0" applyNumberFormat="1" applyFont="1" applyAlignment="1">
      <alignment horizontal="center" vertical="top"/>
    </xf>
    <xf numFmtId="2" fontId="0" fillId="0" borderId="0" xfId="0" applyNumberFormat="1" applyFont="1" applyAlignment="1">
      <alignment horizontal="justify"/>
    </xf>
    <xf numFmtId="2" fontId="0" fillId="0" borderId="0" xfId="0" applyNumberFormat="1" applyFont="1" applyAlignment="1">
      <alignment/>
    </xf>
    <xf numFmtId="0" fontId="0" fillId="0" borderId="0" xfId="0" applyNumberFormat="1" applyFont="1" applyAlignment="1">
      <alignment horizontal="center"/>
    </xf>
    <xf numFmtId="2" fontId="7" fillId="0" borderId="0" xfId="0" applyNumberFormat="1" applyFont="1" applyAlignment="1">
      <alignment horizontal="left" vertical="top"/>
    </xf>
    <xf numFmtId="2" fontId="0" fillId="0" borderId="0" xfId="0" applyNumberFormat="1" applyFont="1" applyAlignment="1">
      <alignment horizontal="justify" vertical="top"/>
    </xf>
    <xf numFmtId="0" fontId="3" fillId="0" borderId="0" xfId="0" applyNumberFormat="1" applyFont="1" applyAlignment="1">
      <alignment horizontal="center"/>
    </xf>
    <xf numFmtId="2" fontId="3" fillId="0" borderId="0" xfId="0" applyNumberFormat="1" applyFont="1" applyAlignment="1">
      <alignment horizontal="justify" vertical="top"/>
    </xf>
    <xf numFmtId="2" fontId="3" fillId="0" borderId="0" xfId="0" applyNumberFormat="1" applyFont="1" applyAlignment="1">
      <alignment/>
    </xf>
    <xf numFmtId="0" fontId="0" fillId="0" borderId="0" xfId="0" applyNumberFormat="1" applyFont="1" applyBorder="1" applyAlignment="1">
      <alignment horizontal="center" vertical="top"/>
    </xf>
    <xf numFmtId="2" fontId="0" fillId="0" borderId="0" xfId="0" applyNumberFormat="1" applyFont="1" applyBorder="1" applyAlignment="1">
      <alignment horizontal="center" vertical="top"/>
    </xf>
    <xf numFmtId="2" fontId="0" fillId="0" borderId="0" xfId="0" applyNumberFormat="1" applyFont="1" applyBorder="1" applyAlignment="1">
      <alignment vertical="top"/>
    </xf>
    <xf numFmtId="2" fontId="10" fillId="0" borderId="0" xfId="0" applyNumberFormat="1" applyFont="1" applyAlignment="1" applyProtection="1">
      <alignment horizontal="center"/>
      <protection/>
    </xf>
    <xf numFmtId="2" fontId="0" fillId="0" borderId="0" xfId="0" applyNumberFormat="1" applyFont="1" applyAlignment="1">
      <alignment vertical="top"/>
    </xf>
    <xf numFmtId="2" fontId="0" fillId="0" borderId="0" xfId="0" applyNumberFormat="1" applyFont="1" applyAlignment="1">
      <alignment horizontal="center"/>
    </xf>
    <xf numFmtId="0" fontId="3" fillId="0" borderId="0" xfId="0" applyNumberFormat="1" applyFont="1" applyAlignment="1">
      <alignment horizontal="center" vertical="top"/>
    </xf>
    <xf numFmtId="2" fontId="3" fillId="0" borderId="0" xfId="0" applyNumberFormat="1" applyFont="1" applyAlignment="1">
      <alignment horizontal="left" vertical="top"/>
    </xf>
    <xf numFmtId="2" fontId="3" fillId="0" borderId="0" xfId="0" applyNumberFormat="1" applyFont="1" applyAlignment="1">
      <alignment vertical="top"/>
    </xf>
    <xf numFmtId="2" fontId="0" fillId="0" borderId="0" xfId="0" applyNumberFormat="1" applyFont="1" applyAlignment="1">
      <alignment horizontal="justify" vertical="justify"/>
    </xf>
    <xf numFmtId="2" fontId="0" fillId="0" borderId="0" xfId="0" applyNumberFormat="1" applyFont="1" applyAlignment="1">
      <alignment horizontal="right" vertical="top"/>
    </xf>
    <xf numFmtId="2" fontId="0" fillId="0" borderId="0" xfId="0" applyNumberFormat="1" applyFont="1" applyAlignment="1">
      <alignment horizontal="center" vertical="top"/>
    </xf>
    <xf numFmtId="2" fontId="0" fillId="0" borderId="0" xfId="0" applyNumberFormat="1" applyFont="1" applyBorder="1" applyAlignment="1" applyProtection="1">
      <alignment horizontal="center"/>
      <protection/>
    </xf>
    <xf numFmtId="0" fontId="0" fillId="0" borderId="0" xfId="0" applyNumberFormat="1" applyFont="1" applyBorder="1" applyAlignment="1" applyProtection="1">
      <alignment horizontal="center" vertical="top"/>
      <protection/>
    </xf>
    <xf numFmtId="2" fontId="0" fillId="0" borderId="0" xfId="0" applyNumberFormat="1" applyFont="1" applyBorder="1" applyAlignment="1" applyProtection="1">
      <alignment horizontal="left" vertical="top"/>
      <protection/>
    </xf>
    <xf numFmtId="2" fontId="10" fillId="0" borderId="0" xfId="0" applyNumberFormat="1" applyFont="1" applyAlignment="1" applyProtection="1" quotePrefix="1">
      <alignment horizontal="justify" vertical="top"/>
      <protection/>
    </xf>
    <xf numFmtId="2" fontId="10" fillId="0" borderId="0" xfId="0" applyNumberFormat="1" applyFont="1" applyAlignment="1" applyProtection="1">
      <alignment horizontal="center"/>
      <protection locked="0"/>
    </xf>
    <xf numFmtId="0" fontId="10" fillId="0" borderId="0" xfId="0" applyNumberFormat="1" applyFont="1" applyAlignment="1" applyProtection="1">
      <alignment horizontal="center" vertical="top"/>
      <protection/>
    </xf>
    <xf numFmtId="2" fontId="10" fillId="0" borderId="0" xfId="0" applyNumberFormat="1" applyFont="1" applyAlignment="1" applyProtection="1" quotePrefix="1">
      <alignment horizontal="left" vertical="top"/>
      <protection/>
    </xf>
    <xf numFmtId="2" fontId="10" fillId="0" borderId="0" xfId="0" applyNumberFormat="1" applyFont="1" applyAlignment="1" applyProtection="1">
      <alignment horizontal="justify" vertical="top"/>
      <protection/>
    </xf>
    <xf numFmtId="2" fontId="10" fillId="0" borderId="0" xfId="0" applyNumberFormat="1" applyFont="1" applyAlignment="1" applyProtection="1">
      <alignment horizontal="left" vertical="top"/>
      <protection locked="0"/>
    </xf>
    <xf numFmtId="2" fontId="10" fillId="0" borderId="0" xfId="0" applyNumberFormat="1" applyFont="1" applyAlignment="1" applyProtection="1">
      <alignment vertical="top"/>
      <protection/>
    </xf>
    <xf numFmtId="2" fontId="0" fillId="0" borderId="0" xfId="0" applyNumberFormat="1" applyFont="1" applyAlignment="1" applyProtection="1" quotePrefix="1">
      <alignment horizontal="justify" vertical="top"/>
      <protection/>
    </xf>
    <xf numFmtId="2" fontId="0" fillId="0" borderId="0" xfId="0" applyNumberFormat="1" applyFont="1" applyAlignment="1" applyProtection="1">
      <alignment horizontal="center"/>
      <protection/>
    </xf>
    <xf numFmtId="2" fontId="0" fillId="0" borderId="0" xfId="0" applyNumberFormat="1" applyFont="1" applyAlignment="1" applyProtection="1" quotePrefix="1">
      <alignment horizontal="left" vertical="top"/>
      <protection/>
    </xf>
    <xf numFmtId="2" fontId="0" fillId="0" borderId="0" xfId="0" applyNumberFormat="1" applyFont="1" applyAlignment="1" applyProtection="1">
      <alignment horizontal="justify" vertical="top"/>
      <protection/>
    </xf>
    <xf numFmtId="2" fontId="0" fillId="0" borderId="0" xfId="0" applyNumberFormat="1" applyFont="1" applyAlignment="1">
      <alignment horizontal="left" vertical="top"/>
    </xf>
    <xf numFmtId="2" fontId="0" fillId="0" borderId="0" xfId="0" applyNumberFormat="1" applyFont="1" applyAlignment="1">
      <alignment horizontal="center" vertical="justify"/>
    </xf>
    <xf numFmtId="0" fontId="0" fillId="0" borderId="0" xfId="0" applyFont="1" applyFill="1" applyAlignment="1">
      <alignment vertical="justify"/>
    </xf>
    <xf numFmtId="2" fontId="0" fillId="0" borderId="0" xfId="0" applyNumberFormat="1" applyFont="1" applyBorder="1" applyAlignment="1" applyProtection="1">
      <alignment horizontal="center" vertical="top"/>
      <protection/>
    </xf>
    <xf numFmtId="2" fontId="10" fillId="0" borderId="0" xfId="0" applyNumberFormat="1" applyFont="1" applyAlignment="1" applyProtection="1">
      <alignment horizontal="left" vertical="top"/>
      <protection/>
    </xf>
    <xf numFmtId="2" fontId="10" fillId="0" borderId="0" xfId="0" applyNumberFormat="1" applyFont="1" applyAlignment="1">
      <alignment horizontal="justify" vertical="top"/>
    </xf>
    <xf numFmtId="2" fontId="10" fillId="0" borderId="0" xfId="0" applyNumberFormat="1" applyFont="1" applyAlignment="1">
      <alignment horizontal="center" vertical="top"/>
    </xf>
    <xf numFmtId="2" fontId="10" fillId="0" borderId="0" xfId="0" applyNumberFormat="1" applyFont="1" applyAlignment="1">
      <alignment vertical="top"/>
    </xf>
    <xf numFmtId="2" fontId="10" fillId="0" borderId="0" xfId="0" applyNumberFormat="1" applyFont="1" applyAlignment="1">
      <alignment horizontal="center"/>
    </xf>
    <xf numFmtId="2" fontId="10" fillId="0" borderId="0" xfId="0" applyNumberFormat="1" applyFont="1" applyAlignment="1">
      <alignment/>
    </xf>
    <xf numFmtId="0" fontId="10" fillId="0" borderId="0" xfId="0" applyNumberFormat="1" applyFont="1" applyBorder="1" applyAlignment="1" applyProtection="1">
      <alignment horizontal="center"/>
      <protection/>
    </xf>
    <xf numFmtId="2" fontId="10" fillId="0" borderId="0" xfId="0" applyNumberFormat="1" applyFont="1" applyBorder="1" applyAlignment="1" applyProtection="1">
      <alignment horizontal="left"/>
      <protection/>
    </xf>
    <xf numFmtId="2" fontId="10" fillId="0" borderId="0" xfId="0" applyNumberFormat="1" applyFont="1" applyBorder="1" applyAlignment="1" applyProtection="1" quotePrefix="1">
      <alignment horizontal="left"/>
      <protection/>
    </xf>
    <xf numFmtId="2" fontId="0" fillId="0" borderId="0" xfId="0" applyNumberFormat="1" applyFont="1" applyBorder="1" applyAlignment="1">
      <alignment/>
    </xf>
    <xf numFmtId="2" fontId="10" fillId="0" borderId="0" xfId="0" applyNumberFormat="1" applyFont="1" applyAlignment="1" applyProtection="1">
      <alignment/>
      <protection/>
    </xf>
    <xf numFmtId="0" fontId="10" fillId="0" borderId="0" xfId="0" applyNumberFormat="1" applyFont="1" applyAlignment="1">
      <alignment horizontal="center"/>
    </xf>
    <xf numFmtId="2" fontId="10" fillId="0" borderId="0" xfId="0" applyNumberFormat="1" applyFont="1" applyAlignment="1">
      <alignment/>
    </xf>
    <xf numFmtId="2" fontId="0" fillId="0" borderId="0" xfId="0" applyNumberFormat="1" applyFont="1" applyAlignment="1">
      <alignment/>
    </xf>
    <xf numFmtId="0" fontId="10" fillId="0" borderId="0" xfId="0" applyNumberFormat="1" applyFont="1" applyAlignment="1">
      <alignment horizontal="center" vertical="top"/>
    </xf>
    <xf numFmtId="2" fontId="10" fillId="0" borderId="0" xfId="0" applyNumberFormat="1" applyFont="1" applyAlignment="1" applyProtection="1">
      <alignment horizontal="left"/>
      <protection/>
    </xf>
    <xf numFmtId="0" fontId="10" fillId="0" borderId="0" xfId="0" applyNumberFormat="1" applyFont="1" applyAlignment="1" applyProtection="1">
      <alignment horizontal="center"/>
      <protection/>
    </xf>
    <xf numFmtId="2" fontId="10" fillId="0" borderId="0" xfId="0" applyNumberFormat="1" applyFont="1" applyAlignment="1" applyProtection="1">
      <alignment horizontal="center" vertical="top"/>
      <protection/>
    </xf>
    <xf numFmtId="2" fontId="10" fillId="0" borderId="0" xfId="0" applyNumberFormat="1" applyFont="1" applyAlignment="1">
      <alignment horizontal="left" vertical="top"/>
    </xf>
    <xf numFmtId="0" fontId="10" fillId="0" borderId="0" xfId="0" applyNumberFormat="1" applyFont="1" applyBorder="1" applyAlignment="1" applyProtection="1">
      <alignment horizontal="center" vertical="top"/>
      <protection/>
    </xf>
    <xf numFmtId="2" fontId="10" fillId="0" borderId="0" xfId="0" applyNumberFormat="1" applyFont="1" applyBorder="1" applyAlignment="1" applyProtection="1">
      <alignment horizontal="justify" vertical="top"/>
      <protection/>
    </xf>
    <xf numFmtId="2" fontId="10" fillId="0" borderId="0" xfId="0" applyNumberFormat="1" applyFont="1" applyAlignment="1" applyProtection="1">
      <alignment horizontal="right"/>
      <protection/>
    </xf>
    <xf numFmtId="0" fontId="0" fillId="0" borderId="0" xfId="0" applyFont="1" applyBorder="1" applyAlignment="1">
      <alignment vertical="top"/>
    </xf>
    <xf numFmtId="43" fontId="3" fillId="0" borderId="0" xfId="42" applyFont="1" applyFill="1" applyBorder="1" applyAlignment="1">
      <alignment vertical="justify"/>
    </xf>
    <xf numFmtId="43" fontId="0" fillId="0" borderId="0" xfId="42" applyFont="1" applyBorder="1" applyAlignment="1" applyProtection="1">
      <alignment vertical="justify"/>
      <protection locked="0"/>
    </xf>
    <xf numFmtId="0" fontId="18" fillId="0" borderId="0" xfId="0" applyFont="1" applyAlignment="1">
      <alignment horizontal="center" vertical="top"/>
    </xf>
    <xf numFmtId="0" fontId="3" fillId="0" borderId="0" xfId="0" applyNumberFormat="1" applyFont="1" applyBorder="1" applyAlignment="1">
      <alignment horizontal="center" vertical="top"/>
    </xf>
    <xf numFmtId="0" fontId="3" fillId="0" borderId="0" xfId="0" applyNumberFormat="1" applyFont="1" applyBorder="1" applyAlignment="1" quotePrefix="1">
      <alignment horizontal="center" vertical="top"/>
    </xf>
    <xf numFmtId="0" fontId="0" fillId="0" borderId="0" xfId="0" applyNumberFormat="1" applyFont="1" applyBorder="1" applyAlignment="1" quotePrefix="1">
      <alignment horizontal="center" vertical="top"/>
    </xf>
    <xf numFmtId="164" fontId="0" fillId="0" borderId="0" xfId="0" applyNumberFormat="1" applyFont="1" applyBorder="1" applyAlignment="1">
      <alignment horizontal="center" vertical="top"/>
    </xf>
    <xf numFmtId="0" fontId="3" fillId="0" borderId="0" xfId="0" applyFont="1" applyFill="1" applyBorder="1" applyAlignment="1">
      <alignment horizontal="center" vertical="top"/>
    </xf>
    <xf numFmtId="0" fontId="0" fillId="0" borderId="0" xfId="42" applyNumberFormat="1" applyFont="1" applyBorder="1" applyAlignment="1" applyProtection="1">
      <alignment horizontal="center" vertical="top"/>
      <protection/>
    </xf>
    <xf numFmtId="164" fontId="0" fillId="0" borderId="0" xfId="0" applyNumberFormat="1" applyFont="1" applyBorder="1" applyAlignment="1" applyProtection="1">
      <alignment horizontal="center" vertical="top"/>
      <protection/>
    </xf>
    <xf numFmtId="2" fontId="3" fillId="0" borderId="0" xfId="0" applyNumberFormat="1" applyFont="1" applyBorder="1" applyAlignment="1">
      <alignment horizontal="center" vertical="top"/>
    </xf>
    <xf numFmtId="0" fontId="19" fillId="0" borderId="0" xfId="0" applyFont="1" applyAlignment="1">
      <alignment/>
    </xf>
    <xf numFmtId="0" fontId="1" fillId="0" borderId="0" xfId="0" applyFont="1" applyAlignment="1">
      <alignment/>
    </xf>
    <xf numFmtId="0" fontId="1" fillId="0" borderId="0" xfId="0" applyFont="1" applyAlignment="1">
      <alignment vertical="center"/>
    </xf>
    <xf numFmtId="0" fontId="6" fillId="0" borderId="0" xfId="0" applyFont="1" applyAlignment="1">
      <alignment vertical="center"/>
    </xf>
    <xf numFmtId="0" fontId="12" fillId="0" borderId="0" xfId="0" applyNumberFormat="1" applyFont="1" applyBorder="1" applyAlignment="1" applyProtection="1">
      <alignment horizontal="justify" vertical="top"/>
      <protection/>
    </xf>
    <xf numFmtId="0" fontId="1" fillId="0" borderId="0" xfId="0" applyFont="1" applyBorder="1" applyAlignment="1">
      <alignment/>
    </xf>
    <xf numFmtId="2" fontId="1" fillId="0" borderId="0" xfId="0" applyNumberFormat="1" applyFont="1" applyBorder="1" applyAlignment="1">
      <alignment horizontal="right"/>
    </xf>
    <xf numFmtId="0" fontId="1" fillId="0" borderId="0" xfId="0" applyFont="1" applyBorder="1" applyAlignment="1">
      <alignment/>
    </xf>
    <xf numFmtId="0" fontId="3" fillId="0" borderId="0" xfId="0" applyNumberFormat="1" applyFont="1" applyBorder="1" applyAlignment="1" applyProtection="1">
      <alignment horizontal="center" vertical="top"/>
      <protection/>
    </xf>
    <xf numFmtId="0" fontId="12" fillId="0" borderId="0" xfId="0" applyFont="1" applyBorder="1" applyAlignment="1">
      <alignment horizontal="center"/>
    </xf>
    <xf numFmtId="4" fontId="12" fillId="0" borderId="0" xfId="42" applyNumberFormat="1" applyFont="1" applyBorder="1" applyAlignment="1">
      <alignment horizontal="center"/>
    </xf>
    <xf numFmtId="43" fontId="0" fillId="0" borderId="0" xfId="42" applyFont="1" applyAlignment="1" applyProtection="1">
      <alignment horizontal="right" vertical="top"/>
      <protection/>
    </xf>
    <xf numFmtId="0" fontId="12" fillId="0" borderId="0" xfId="0" applyNumberFormat="1" applyFont="1" applyBorder="1" applyAlignment="1" quotePrefix="1">
      <alignment horizontal="center" vertical="top"/>
    </xf>
    <xf numFmtId="0" fontId="12" fillId="0" borderId="0" xfId="0" applyFont="1" applyAlignment="1">
      <alignment horizontal="justify" vertical="top"/>
    </xf>
    <xf numFmtId="0" fontId="3" fillId="0" borderId="0" xfId="0" applyNumberFormat="1" applyFont="1" applyBorder="1" applyAlignment="1" applyProtection="1">
      <alignment horizontal="left" vertical="top"/>
      <protection/>
    </xf>
    <xf numFmtId="1" fontId="3" fillId="0" borderId="0" xfId="0" applyNumberFormat="1" applyFont="1" applyBorder="1" applyAlignment="1">
      <alignment horizontal="center" vertical="center"/>
    </xf>
    <xf numFmtId="165" fontId="0" fillId="0" borderId="0" xfId="0" applyNumberFormat="1" applyFont="1" applyAlignment="1" applyProtection="1">
      <alignment horizontal="center" vertical="justify"/>
      <protection/>
    </xf>
    <xf numFmtId="2" fontId="3" fillId="0" borderId="0" xfId="0" applyNumberFormat="1" applyFont="1" applyAlignment="1">
      <alignment horizontal="right" vertical="top"/>
    </xf>
    <xf numFmtId="0" fontId="0" fillId="0" borderId="0" xfId="0" applyFont="1" applyBorder="1" applyAlignment="1">
      <alignment vertical="top" wrapText="1"/>
    </xf>
    <xf numFmtId="0" fontId="3" fillId="0" borderId="0" xfId="0" applyFont="1" applyBorder="1" applyAlignment="1">
      <alignment horizontal="left" vertical="top"/>
    </xf>
    <xf numFmtId="0" fontId="0" fillId="0" borderId="0" xfId="0" applyFont="1" applyBorder="1" applyAlignment="1">
      <alignment horizontal="left" vertical="top"/>
    </xf>
    <xf numFmtId="0" fontId="2" fillId="0" borderId="0" xfId="0" applyFont="1" applyFill="1" applyBorder="1" applyAlignment="1">
      <alignment/>
    </xf>
    <xf numFmtId="0" fontId="25" fillId="0" borderId="0" xfId="0" applyFont="1" applyBorder="1" applyAlignment="1">
      <alignment horizontal="left" vertical="top"/>
    </xf>
    <xf numFmtId="0" fontId="0" fillId="0" borderId="0" xfId="0" applyFont="1" applyBorder="1" applyAlignment="1">
      <alignment horizontal="left" vertical="top" wrapText="1"/>
    </xf>
    <xf numFmtId="0" fontId="0" fillId="0" borderId="0" xfId="0" applyFont="1" applyBorder="1" applyAlignment="1">
      <alignment vertical="justify"/>
    </xf>
    <xf numFmtId="0" fontId="25" fillId="0" borderId="0" xfId="0" applyNumberFormat="1" applyFont="1" applyAlignment="1" applyProtection="1">
      <alignment horizontal="justify" vertical="top"/>
      <protection/>
    </xf>
    <xf numFmtId="0" fontId="0" fillId="0" borderId="0" xfId="0" applyFont="1" applyBorder="1" applyAlignment="1">
      <alignment/>
    </xf>
    <xf numFmtId="0" fontId="0" fillId="0" borderId="0" xfId="0" applyFont="1" applyAlignment="1">
      <alignment/>
    </xf>
    <xf numFmtId="0" fontId="6" fillId="0" borderId="0" xfId="0" applyFont="1" applyAlignment="1">
      <alignment horizontal="center" vertical="center"/>
    </xf>
    <xf numFmtId="0" fontId="1" fillId="0" borderId="0" xfId="0" applyFont="1" applyAlignment="1">
      <alignment horizontal="center"/>
    </xf>
    <xf numFmtId="2" fontId="0" fillId="0" borderId="0" xfId="0" applyNumberFormat="1" applyFont="1" applyBorder="1" applyAlignment="1" quotePrefix="1">
      <alignment horizontal="center" vertical="top"/>
    </xf>
    <xf numFmtId="4" fontId="26" fillId="0" borderId="0" xfId="0" applyNumberFormat="1" applyFont="1" applyAlignment="1">
      <alignment/>
    </xf>
    <xf numFmtId="0" fontId="26" fillId="0" borderId="0" xfId="0" applyFont="1" applyAlignment="1">
      <alignment/>
    </xf>
    <xf numFmtId="43" fontId="26" fillId="0" borderId="10" xfId="42" applyFont="1" applyBorder="1" applyAlignment="1">
      <alignment vertical="center"/>
    </xf>
    <xf numFmtId="0" fontId="10" fillId="0" borderId="0" xfId="0" applyFont="1" applyAlignment="1">
      <alignment horizontal="center"/>
    </xf>
    <xf numFmtId="4" fontId="10" fillId="0" borderId="0" xfId="0" applyNumberFormat="1" applyFont="1" applyAlignment="1">
      <alignment horizontal="right"/>
    </xf>
    <xf numFmtId="0" fontId="10" fillId="0" borderId="0" xfId="0" applyFont="1" applyFill="1" applyAlignment="1">
      <alignment horizontal="center"/>
    </xf>
    <xf numFmtId="4" fontId="27" fillId="0" borderId="0" xfId="0" applyNumberFormat="1" applyFont="1" applyAlignment="1">
      <alignment horizontal="right"/>
    </xf>
    <xf numFmtId="43" fontId="27" fillId="0" borderId="0" xfId="42" applyFont="1" applyFill="1" applyAlignment="1">
      <alignment horizontal="center"/>
    </xf>
    <xf numFmtId="0" fontId="27" fillId="0" borderId="0" xfId="0" applyFont="1" applyAlignment="1">
      <alignment horizontal="justify" vertical="top"/>
    </xf>
    <xf numFmtId="43" fontId="27" fillId="0" borderId="0" xfId="42" applyFont="1" applyFill="1" applyBorder="1" applyAlignment="1">
      <alignment horizontal="center"/>
    </xf>
    <xf numFmtId="2" fontId="28" fillId="0" borderId="0" xfId="0" applyNumberFormat="1" applyFont="1" applyFill="1" applyAlignment="1">
      <alignment horizontal="center"/>
    </xf>
    <xf numFmtId="4" fontId="28" fillId="0" borderId="0" xfId="0" applyNumberFormat="1" applyFont="1" applyAlignment="1">
      <alignment horizontal="right"/>
    </xf>
    <xf numFmtId="2" fontId="27" fillId="0" borderId="0" xfId="0" applyNumberFormat="1" applyFont="1" applyFill="1" applyAlignment="1">
      <alignment horizontal="center"/>
    </xf>
    <xf numFmtId="4" fontId="27" fillId="0" borderId="0" xfId="0" applyNumberFormat="1" applyFont="1" applyBorder="1" applyAlignment="1">
      <alignment horizontal="right"/>
    </xf>
    <xf numFmtId="4" fontId="10" fillId="0" borderId="0" xfId="0" applyNumberFormat="1" applyFont="1" applyBorder="1" applyAlignment="1">
      <alignment horizontal="right"/>
    </xf>
    <xf numFmtId="4" fontId="27" fillId="33" borderId="0" xfId="0" applyNumberFormat="1" applyFont="1" applyFill="1" applyBorder="1" applyAlignment="1">
      <alignment horizontal="center"/>
    </xf>
    <xf numFmtId="4" fontId="27" fillId="33" borderId="0" xfId="0" applyNumberFormat="1" applyFont="1" applyFill="1" applyBorder="1" applyAlignment="1">
      <alignment horizontal="right"/>
    </xf>
    <xf numFmtId="4" fontId="10" fillId="0" borderId="0" xfId="0" applyNumberFormat="1" applyFont="1" applyBorder="1" applyAlignment="1">
      <alignment horizontal="center"/>
    </xf>
    <xf numFmtId="43" fontId="10" fillId="0" borderId="0" xfId="42" applyFont="1" applyBorder="1" applyAlignment="1">
      <alignment horizontal="center"/>
    </xf>
    <xf numFmtId="4" fontId="10" fillId="0" borderId="0" xfId="42" applyNumberFormat="1" applyFont="1" applyBorder="1" applyAlignment="1">
      <alignment horizontal="right"/>
    </xf>
    <xf numFmtId="4" fontId="10" fillId="0" borderId="0" xfId="42" applyNumberFormat="1" applyFont="1" applyBorder="1" applyAlignment="1">
      <alignment horizontal="center"/>
    </xf>
    <xf numFmtId="43" fontId="10" fillId="0" borderId="0" xfId="42" applyFont="1" applyAlignment="1">
      <alignment/>
    </xf>
    <xf numFmtId="4" fontId="27" fillId="0" borderId="0" xfId="42" applyNumberFormat="1" applyFont="1" applyBorder="1" applyAlignment="1">
      <alignment horizontal="center"/>
    </xf>
    <xf numFmtId="4" fontId="27" fillId="0" borderId="0" xfId="42" applyNumberFormat="1" applyFont="1" applyBorder="1" applyAlignment="1">
      <alignment horizontal="right"/>
    </xf>
    <xf numFmtId="4" fontId="10" fillId="0" borderId="0" xfId="0" applyNumberFormat="1" applyFont="1" applyFill="1" applyBorder="1" applyAlignment="1">
      <alignment horizontal="center"/>
    </xf>
    <xf numFmtId="0" fontId="10" fillId="0" borderId="0" xfId="0" applyFont="1" applyAlignment="1">
      <alignment horizontal="justify" vertical="top"/>
    </xf>
    <xf numFmtId="4" fontId="10" fillId="0" borderId="0" xfId="0" applyNumberFormat="1" applyFont="1" applyFill="1" applyBorder="1" applyAlignment="1">
      <alignment horizontal="center" wrapText="1"/>
    </xf>
    <xf numFmtId="4" fontId="26" fillId="0" borderId="0" xfId="42" applyNumberFormat="1" applyFont="1" applyBorder="1" applyAlignment="1">
      <alignment horizontal="center"/>
    </xf>
    <xf numFmtId="4" fontId="29" fillId="0" borderId="0" xfId="42" applyNumberFormat="1" applyFont="1" applyBorder="1" applyAlignment="1">
      <alignment horizontal="right"/>
    </xf>
    <xf numFmtId="4" fontId="10" fillId="0" borderId="0" xfId="0" applyNumberFormat="1" applyFont="1" applyAlignment="1">
      <alignment horizontal="center"/>
    </xf>
    <xf numFmtId="4" fontId="10" fillId="0" borderId="0" xfId="0" applyNumberFormat="1" applyFont="1" applyBorder="1" applyAlignment="1">
      <alignment horizontal="center" vertical="top" wrapText="1"/>
    </xf>
    <xf numFmtId="4" fontId="10" fillId="0" borderId="0" xfId="0" applyNumberFormat="1" applyFont="1" applyBorder="1" applyAlignment="1">
      <alignment horizontal="right" vertical="top" wrapText="1"/>
    </xf>
    <xf numFmtId="2" fontId="10" fillId="0" borderId="0" xfId="0" applyNumberFormat="1" applyFont="1" applyAlignment="1">
      <alignment horizontal="right"/>
    </xf>
    <xf numFmtId="43" fontId="10" fillId="0" borderId="0" xfId="42" applyFont="1" applyAlignment="1">
      <alignment horizontal="right"/>
    </xf>
    <xf numFmtId="4" fontId="10" fillId="0" borderId="0" xfId="42" applyNumberFormat="1" applyFont="1" applyBorder="1" applyAlignment="1" applyProtection="1">
      <alignment horizontal="center"/>
      <protection locked="0"/>
    </xf>
    <xf numFmtId="4" fontId="10" fillId="0" borderId="0" xfId="42" applyNumberFormat="1" applyFont="1" applyAlignment="1">
      <alignment horizontal="center"/>
    </xf>
    <xf numFmtId="43" fontId="10" fillId="0" borderId="0" xfId="42" applyFont="1" applyBorder="1" applyAlignment="1">
      <alignment/>
    </xf>
    <xf numFmtId="4" fontId="10" fillId="0" borderId="11" xfId="42" applyNumberFormat="1" applyFont="1" applyBorder="1" applyAlignment="1">
      <alignment horizontal="right"/>
    </xf>
    <xf numFmtId="0" fontId="10" fillId="0" borderId="0" xfId="0" applyFont="1" applyBorder="1" applyAlignment="1">
      <alignment/>
    </xf>
    <xf numFmtId="43" fontId="29" fillId="0" borderId="0" xfId="42" applyFont="1" applyBorder="1" applyAlignment="1">
      <alignment/>
    </xf>
    <xf numFmtId="43" fontId="27" fillId="0" borderId="0" xfId="42" applyFont="1" applyAlignment="1">
      <alignment/>
    </xf>
    <xf numFmtId="43" fontId="27" fillId="0" borderId="10" xfId="42" applyFont="1" applyBorder="1" applyAlignment="1">
      <alignment/>
    </xf>
    <xf numFmtId="4" fontId="27" fillId="0" borderId="0" xfId="0" applyNumberFormat="1" applyFont="1" applyFill="1" applyAlignment="1">
      <alignment horizontal="center"/>
    </xf>
    <xf numFmtId="4" fontId="27" fillId="0" borderId="0" xfId="42" applyNumberFormat="1" applyFont="1" applyFill="1" applyAlignment="1">
      <alignment horizontal="center"/>
    </xf>
    <xf numFmtId="4" fontId="27" fillId="0" borderId="12" xfId="42" applyNumberFormat="1" applyFont="1" applyFill="1" applyBorder="1" applyAlignment="1">
      <alignment horizontal="center"/>
    </xf>
    <xf numFmtId="4" fontId="27" fillId="0" borderId="10" xfId="42" applyNumberFormat="1" applyFont="1" applyFill="1" applyBorder="1" applyAlignment="1">
      <alignment horizontal="center"/>
    </xf>
    <xf numFmtId="4" fontId="27" fillId="0" borderId="13" xfId="0" applyNumberFormat="1" applyFont="1" applyFill="1" applyBorder="1" applyAlignment="1">
      <alignment horizontal="center"/>
    </xf>
    <xf numFmtId="4" fontId="28" fillId="0" borderId="0" xfId="0" applyNumberFormat="1" applyFont="1" applyFill="1" applyAlignment="1">
      <alignment horizontal="center"/>
    </xf>
    <xf numFmtId="4" fontId="27" fillId="0" borderId="0" xfId="42" applyNumberFormat="1" applyFont="1" applyFill="1" applyBorder="1" applyAlignment="1">
      <alignment horizontal="center"/>
    </xf>
    <xf numFmtId="4" fontId="27" fillId="0" borderId="13" xfId="42" applyNumberFormat="1" applyFont="1" applyFill="1" applyBorder="1" applyAlignment="1">
      <alignment horizontal="center"/>
    </xf>
    <xf numFmtId="4" fontId="27" fillId="0" borderId="14" xfId="42" applyNumberFormat="1" applyFont="1" applyFill="1" applyBorder="1" applyAlignment="1">
      <alignment horizontal="center"/>
    </xf>
    <xf numFmtId="43" fontId="10" fillId="0" borderId="0" xfId="42" applyFont="1" applyAlignment="1">
      <alignment horizontal="center"/>
    </xf>
    <xf numFmtId="4" fontId="10" fillId="0" borderId="0" xfId="0" applyNumberFormat="1" applyFont="1" applyBorder="1" applyAlignment="1" applyProtection="1">
      <alignment horizontal="center"/>
      <protection/>
    </xf>
    <xf numFmtId="1" fontId="29" fillId="0" borderId="0" xfId="0" applyNumberFormat="1" applyFont="1" applyBorder="1" applyAlignment="1">
      <alignment horizontal="center"/>
    </xf>
    <xf numFmtId="43" fontId="27" fillId="0" borderId="0" xfId="42" applyFont="1" applyAlignment="1">
      <alignment horizontal="center"/>
    </xf>
    <xf numFmtId="2" fontId="10" fillId="0" borderId="0" xfId="42" applyNumberFormat="1" applyFont="1" applyAlignment="1">
      <alignment horizontal="center"/>
    </xf>
    <xf numFmtId="4" fontId="27" fillId="0" borderId="0" xfId="0" applyNumberFormat="1" applyFont="1" applyAlignment="1">
      <alignment horizontal="center"/>
    </xf>
    <xf numFmtId="4" fontId="27" fillId="0" borderId="0" xfId="0" applyNumberFormat="1" applyFont="1" applyBorder="1" applyAlignment="1">
      <alignment horizontal="center"/>
    </xf>
    <xf numFmtId="4" fontId="10" fillId="0" borderId="0" xfId="0" applyNumberFormat="1" applyFont="1" applyBorder="1" applyAlignment="1">
      <alignment horizontal="justify" vertical="top" wrapText="1"/>
    </xf>
    <xf numFmtId="4" fontId="10" fillId="0" borderId="0" xfId="0" applyNumberFormat="1" applyFont="1" applyBorder="1" applyAlignment="1">
      <alignment/>
    </xf>
    <xf numFmtId="43" fontId="27" fillId="0" borderId="0" xfId="42" applyFont="1" applyAlignment="1">
      <alignment vertical="justify"/>
    </xf>
    <xf numFmtId="43" fontId="26" fillId="0" borderId="0" xfId="42" applyFont="1" applyAlignment="1">
      <alignment vertical="justify"/>
    </xf>
    <xf numFmtId="43" fontId="27" fillId="0" borderId="0" xfId="42" applyFont="1" applyFill="1" applyAlignment="1" applyProtection="1">
      <alignment vertical="justify"/>
      <protection/>
    </xf>
    <xf numFmtId="43" fontId="27" fillId="0" borderId="0" xfId="42" applyFont="1" applyAlignment="1" applyProtection="1">
      <alignment vertical="justify"/>
      <protection/>
    </xf>
    <xf numFmtId="43" fontId="27" fillId="0" borderId="10" xfId="42" applyFont="1" applyBorder="1" applyAlignment="1" applyProtection="1">
      <alignment vertical="justify"/>
      <protection/>
    </xf>
    <xf numFmtId="43" fontId="26" fillId="0" borderId="0" xfId="42" applyFont="1" applyAlignment="1" applyProtection="1">
      <alignment vertical="justify"/>
      <protection/>
    </xf>
    <xf numFmtId="43" fontId="27" fillId="0" borderId="0" xfId="42" applyFont="1" applyFill="1" applyBorder="1" applyAlignment="1">
      <alignment vertical="justify"/>
    </xf>
    <xf numFmtId="43" fontId="27" fillId="0" borderId="10" xfId="42" applyFont="1" applyBorder="1" applyAlignment="1">
      <alignment vertical="justify"/>
    </xf>
    <xf numFmtId="43" fontId="27" fillId="0" borderId="0" xfId="42" applyFont="1" applyBorder="1" applyAlignment="1">
      <alignment vertical="justify"/>
    </xf>
    <xf numFmtId="43" fontId="10" fillId="0" borderId="0" xfId="42" applyFont="1" applyAlignment="1">
      <alignment horizontal="right" vertical="justify"/>
    </xf>
    <xf numFmtId="0" fontId="30" fillId="0" borderId="0" xfId="0" applyFont="1" applyAlignment="1">
      <alignment/>
    </xf>
    <xf numFmtId="0" fontId="27" fillId="0" borderId="0" xfId="0" applyFont="1" applyAlignment="1">
      <alignment/>
    </xf>
    <xf numFmtId="43" fontId="26" fillId="0" borderId="0" xfId="42" applyFont="1" applyAlignment="1" applyProtection="1">
      <alignment vertical="justify"/>
      <protection locked="0"/>
    </xf>
    <xf numFmtId="43" fontId="27" fillId="0" borderId="0" xfId="42" applyFont="1" applyAlignment="1" applyProtection="1">
      <alignment vertical="justify"/>
      <protection locked="0"/>
    </xf>
    <xf numFmtId="43" fontId="27" fillId="0" borderId="0" xfId="42" applyFont="1" applyAlignment="1" applyProtection="1">
      <alignment horizontal="center" vertical="justify"/>
      <protection/>
    </xf>
    <xf numFmtId="43" fontId="27" fillId="0" borderId="0" xfId="42" applyFont="1" applyAlignment="1" applyProtection="1">
      <alignment horizontal="center" vertical="justify"/>
      <protection locked="0"/>
    </xf>
    <xf numFmtId="0" fontId="27" fillId="0" borderId="0" xfId="0" applyNumberFormat="1" applyFont="1" applyAlignment="1" applyProtection="1">
      <alignment horizontal="center" vertical="justify"/>
      <protection/>
    </xf>
    <xf numFmtId="43" fontId="27" fillId="0" borderId="0" xfId="42" applyFont="1" applyFill="1" applyAlignment="1" applyProtection="1">
      <alignment horizontal="center" vertical="justify"/>
      <protection/>
    </xf>
    <xf numFmtId="0" fontId="27" fillId="0" borderId="0" xfId="0" applyNumberFormat="1" applyFont="1" applyAlignment="1">
      <alignment horizontal="center" vertical="justify"/>
    </xf>
    <xf numFmtId="0" fontId="10" fillId="0" borderId="0" xfId="0" applyFont="1" applyAlignment="1">
      <alignment horizontal="right" vertical="justify"/>
    </xf>
    <xf numFmtId="0" fontId="10" fillId="0" borderId="0" xfId="0" applyFont="1" applyAlignment="1">
      <alignment/>
    </xf>
    <xf numFmtId="43" fontId="26" fillId="0" borderId="0" xfId="42" applyFont="1" applyAlignment="1">
      <alignment/>
    </xf>
    <xf numFmtId="43" fontId="10" fillId="0" borderId="10" xfId="42" applyFont="1" applyBorder="1" applyAlignment="1">
      <alignment/>
    </xf>
    <xf numFmtId="0" fontId="27" fillId="0" borderId="0" xfId="0" applyFont="1" applyAlignment="1">
      <alignment horizontal="center"/>
    </xf>
    <xf numFmtId="43" fontId="27" fillId="0" borderId="0" xfId="42" applyFont="1" applyAlignment="1">
      <alignment/>
    </xf>
    <xf numFmtId="2" fontId="27" fillId="0" borderId="0" xfId="0" applyNumberFormat="1" applyFont="1" applyAlignment="1">
      <alignment/>
    </xf>
    <xf numFmtId="43" fontId="27" fillId="0" borderId="0" xfId="42" applyFont="1" applyBorder="1" applyAlignment="1">
      <alignment horizontal="right"/>
    </xf>
    <xf numFmtId="43" fontId="10" fillId="0" borderId="0" xfId="42" applyFont="1" applyAlignment="1">
      <alignment/>
    </xf>
    <xf numFmtId="2" fontId="10" fillId="0" borderId="0" xfId="0" applyNumberFormat="1" applyFont="1" applyBorder="1" applyAlignment="1">
      <alignment horizontal="center"/>
    </xf>
    <xf numFmtId="2" fontId="27" fillId="0" borderId="0" xfId="0" applyNumberFormat="1" applyFont="1" applyAlignment="1">
      <alignment horizontal="center"/>
    </xf>
    <xf numFmtId="2" fontId="10" fillId="0" borderId="0" xfId="0" applyNumberFormat="1" applyFont="1" applyBorder="1" applyAlignment="1" applyProtection="1">
      <alignment horizontal="center"/>
      <protection/>
    </xf>
    <xf numFmtId="2" fontId="27" fillId="0" borderId="0" xfId="0" applyNumberFormat="1" applyFont="1" applyAlignment="1">
      <alignment horizontal="justify" vertical="top"/>
    </xf>
    <xf numFmtId="4" fontId="10" fillId="0" borderId="0" xfId="0" applyNumberFormat="1" applyFont="1" applyBorder="1" applyAlignment="1">
      <alignment vertical="top"/>
    </xf>
    <xf numFmtId="4" fontId="10" fillId="0" borderId="0" xfId="42" applyNumberFormat="1" applyFont="1" applyAlignment="1">
      <alignment horizontal="right"/>
    </xf>
    <xf numFmtId="4" fontId="10" fillId="0" borderId="0" xfId="0" applyNumberFormat="1" applyFont="1" applyFill="1" applyBorder="1" applyAlignment="1" applyProtection="1">
      <alignment horizontal="center"/>
      <protection/>
    </xf>
    <xf numFmtId="4" fontId="10" fillId="0" borderId="0" xfId="0" applyNumberFormat="1" applyFont="1" applyBorder="1" applyAlignment="1">
      <alignment horizontal="center" vertical="top"/>
    </xf>
    <xf numFmtId="2" fontId="10" fillId="0" borderId="0" xfId="42" applyNumberFormat="1" applyFont="1" applyBorder="1" applyAlignment="1">
      <alignment horizontal="center"/>
    </xf>
    <xf numFmtId="43" fontId="10" fillId="0" borderId="0" xfId="42" applyFont="1" applyAlignment="1" applyProtection="1">
      <alignment horizontal="center"/>
      <protection/>
    </xf>
    <xf numFmtId="43" fontId="10" fillId="0" borderId="0" xfId="42" applyFont="1" applyAlignment="1" applyProtection="1">
      <alignment/>
      <protection/>
    </xf>
    <xf numFmtId="43" fontId="10" fillId="0" borderId="0" xfId="42" applyFont="1" applyBorder="1" applyAlignment="1">
      <alignment/>
    </xf>
    <xf numFmtId="43" fontId="10" fillId="0" borderId="0" xfId="42" applyFont="1" applyBorder="1" applyAlignment="1" applyProtection="1">
      <alignment horizontal="center"/>
      <protection/>
    </xf>
    <xf numFmtId="43" fontId="10" fillId="0" borderId="0" xfId="42" applyFont="1" applyAlignment="1" applyProtection="1">
      <alignment/>
      <protection locked="0"/>
    </xf>
    <xf numFmtId="43" fontId="10" fillId="0" borderId="11" xfId="42" applyFont="1" applyBorder="1" applyAlignment="1">
      <alignment/>
    </xf>
    <xf numFmtId="0" fontId="27" fillId="0" borderId="0" xfId="0" applyNumberFormat="1" applyFont="1" applyAlignment="1">
      <alignment horizontal="center"/>
    </xf>
    <xf numFmtId="43" fontId="10" fillId="0" borderId="0" xfId="42" applyNumberFormat="1" applyFont="1" applyBorder="1" applyAlignment="1">
      <alignment horizontal="right"/>
    </xf>
    <xf numFmtId="43" fontId="10" fillId="0" borderId="0" xfId="0" applyNumberFormat="1" applyFont="1" applyBorder="1" applyAlignment="1">
      <alignment horizontal="right" vertical="top"/>
    </xf>
    <xf numFmtId="0" fontId="10" fillId="0" borderId="0" xfId="0" applyFont="1" applyBorder="1" applyAlignment="1">
      <alignment vertical="top"/>
    </xf>
    <xf numFmtId="43" fontId="10" fillId="0" borderId="0" xfId="42" applyFont="1" applyFill="1" applyBorder="1" applyAlignment="1" applyProtection="1">
      <alignment horizontal="center"/>
      <protection/>
    </xf>
    <xf numFmtId="43" fontId="10" fillId="0" borderId="0" xfId="42" applyFont="1" applyAlignment="1">
      <alignment horizontal="justify" vertical="top"/>
    </xf>
    <xf numFmtId="43" fontId="10" fillId="0" borderId="0" xfId="42" applyFont="1" applyBorder="1" applyAlignment="1">
      <alignment horizontal="justify" vertical="top"/>
    </xf>
    <xf numFmtId="4" fontId="10" fillId="0" borderId="0" xfId="42" applyNumberFormat="1" applyFont="1" applyBorder="1" applyAlignment="1">
      <alignment horizontal="center" vertical="top"/>
    </xf>
    <xf numFmtId="0" fontId="10" fillId="0" borderId="0" xfId="0" applyFont="1" applyAlignment="1">
      <alignment horizontal="right"/>
    </xf>
    <xf numFmtId="4" fontId="10" fillId="0" borderId="10" xfId="0" applyNumberFormat="1" applyFont="1" applyBorder="1" applyAlignment="1">
      <alignment/>
    </xf>
    <xf numFmtId="43" fontId="10" fillId="0" borderId="0" xfId="42" applyFont="1" applyBorder="1" applyAlignment="1" applyProtection="1">
      <alignment horizontal="justify" vertical="top"/>
      <protection/>
    </xf>
    <xf numFmtId="43" fontId="27" fillId="0" borderId="10" xfId="42" applyFont="1" applyBorder="1" applyAlignment="1" applyProtection="1">
      <alignment horizontal="justify" vertical="top"/>
      <protection/>
    </xf>
    <xf numFmtId="43" fontId="10" fillId="0" borderId="0" xfId="42" applyFont="1" applyBorder="1" applyAlignment="1" applyProtection="1">
      <alignment horizontal="right"/>
      <protection locked="0"/>
    </xf>
    <xf numFmtId="43" fontId="10" fillId="0" borderId="0" xfId="42" applyFont="1" applyAlignment="1">
      <alignment horizontal="center" vertical="top"/>
    </xf>
    <xf numFmtId="43" fontId="10" fillId="0" borderId="0" xfId="42" applyFont="1" applyBorder="1" applyAlignment="1">
      <alignment horizontal="right" vertical="top"/>
    </xf>
    <xf numFmtId="43" fontId="10" fillId="0" borderId="0" xfId="42" applyFont="1" applyBorder="1" applyAlignment="1" applyProtection="1">
      <alignment horizontal="right" vertical="top"/>
      <protection locked="0"/>
    </xf>
    <xf numFmtId="43" fontId="10" fillId="0" borderId="0" xfId="42" applyFont="1" applyAlignment="1" applyProtection="1">
      <alignment horizontal="right"/>
      <protection/>
    </xf>
    <xf numFmtId="43" fontId="10" fillId="0" borderId="0" xfId="42" applyFont="1" applyBorder="1" applyAlignment="1" applyProtection="1">
      <alignment horizontal="right"/>
      <protection/>
    </xf>
    <xf numFmtId="43" fontId="10" fillId="0" borderId="0" xfId="42" applyFont="1" applyBorder="1" applyAlignment="1" applyProtection="1">
      <alignment horizontal="right" vertical="top"/>
      <protection/>
    </xf>
    <xf numFmtId="43" fontId="10" fillId="0" borderId="0" xfId="42" applyFont="1" applyBorder="1" applyAlignment="1">
      <alignment horizontal="right"/>
    </xf>
    <xf numFmtId="43" fontId="10" fillId="0" borderId="0" xfId="42" applyFont="1" applyBorder="1" applyAlignment="1" quotePrefix="1">
      <alignment horizontal="left"/>
    </xf>
    <xf numFmtId="2" fontId="10" fillId="0" borderId="0" xfId="0" applyNumberFormat="1" applyFont="1" applyBorder="1" applyAlignment="1">
      <alignment/>
    </xf>
    <xf numFmtId="43" fontId="10" fillId="0" borderId="0" xfId="42" applyFont="1" applyAlignment="1">
      <alignment horizontal="right" vertical="top"/>
    </xf>
    <xf numFmtId="43" fontId="10" fillId="0" borderId="0" xfId="42" applyFont="1" applyAlignment="1" applyProtection="1">
      <alignment horizontal="justify" vertical="top"/>
      <protection/>
    </xf>
    <xf numFmtId="0" fontId="10" fillId="0" borderId="0" xfId="0" applyFont="1" applyBorder="1" applyAlignment="1">
      <alignment horizontal="right"/>
    </xf>
    <xf numFmtId="2" fontId="0" fillId="0" borderId="0" xfId="0" applyNumberFormat="1" applyAlignment="1">
      <alignment/>
    </xf>
    <xf numFmtId="0" fontId="0" fillId="0" borderId="15" xfId="0" applyBorder="1" applyAlignment="1">
      <alignment/>
    </xf>
    <xf numFmtId="2" fontId="0" fillId="0" borderId="15" xfId="0" applyNumberFormat="1" applyBorder="1" applyAlignment="1">
      <alignment/>
    </xf>
    <xf numFmtId="0" fontId="34" fillId="0" borderId="15" xfId="0" applyFont="1" applyBorder="1" applyAlignment="1">
      <alignment/>
    </xf>
    <xf numFmtId="0" fontId="34" fillId="0" borderId="15" xfId="0" applyFont="1" applyBorder="1" applyAlignment="1">
      <alignment horizontal="center"/>
    </xf>
    <xf numFmtId="2" fontId="34" fillId="0" borderId="15" xfId="0" applyNumberFormat="1" applyFont="1" applyBorder="1" applyAlignment="1">
      <alignment/>
    </xf>
    <xf numFmtId="43" fontId="34" fillId="0" borderId="15" xfId="0" applyNumberFormat="1" applyFont="1" applyBorder="1" applyAlignment="1">
      <alignment/>
    </xf>
    <xf numFmtId="2" fontId="34" fillId="0" borderId="15" xfId="0" applyNumberFormat="1" applyFont="1" applyFill="1" applyBorder="1" applyAlignment="1">
      <alignment/>
    </xf>
    <xf numFmtId="1" fontId="34" fillId="0" borderId="15" xfId="0" applyNumberFormat="1" applyFont="1" applyBorder="1" applyAlignment="1">
      <alignment/>
    </xf>
    <xf numFmtId="164" fontId="34" fillId="0" borderId="15" xfId="0" applyNumberFormat="1" applyFont="1" applyBorder="1" applyAlignment="1">
      <alignment/>
    </xf>
    <xf numFmtId="0" fontId="0" fillId="0" borderId="0" xfId="0" applyFill="1" applyBorder="1" applyAlignment="1">
      <alignment/>
    </xf>
    <xf numFmtId="0" fontId="34" fillId="0" borderId="15" xfId="0" applyFont="1" applyFill="1" applyBorder="1" applyAlignment="1">
      <alignment/>
    </xf>
    <xf numFmtId="9" fontId="34" fillId="0" borderId="15" xfId="0" applyNumberFormat="1" applyFont="1" applyBorder="1" applyAlignment="1">
      <alignment horizontal="center"/>
    </xf>
    <xf numFmtId="165" fontId="34" fillId="0" borderId="15" xfId="0" applyNumberFormat="1" applyFont="1" applyBorder="1" applyAlignment="1">
      <alignment/>
    </xf>
    <xf numFmtId="0" fontId="0" fillId="0" borderId="0" xfId="0" applyBorder="1" applyAlignment="1">
      <alignment horizontal="center"/>
    </xf>
    <xf numFmtId="2" fontId="0" fillId="0" borderId="0" xfId="0" applyNumberFormat="1" applyBorder="1" applyAlignment="1">
      <alignment/>
    </xf>
    <xf numFmtId="2" fontId="2" fillId="0" borderId="0" xfId="0" applyNumberFormat="1" applyFont="1" applyFill="1" applyAlignment="1">
      <alignment/>
    </xf>
    <xf numFmtId="2" fontId="7" fillId="0" borderId="0" xfId="0" applyNumberFormat="1" applyFont="1" applyAlignment="1">
      <alignment horizontal="justify" vertical="top"/>
    </xf>
    <xf numFmtId="2" fontId="3" fillId="33" borderId="0" xfId="0" applyNumberFormat="1" applyFont="1" applyFill="1" applyBorder="1" applyAlignment="1">
      <alignment horizontal="center" vertical="justify"/>
    </xf>
    <xf numFmtId="2" fontId="0" fillId="0" borderId="0" xfId="0" applyNumberFormat="1" applyFont="1" applyFill="1" applyAlignment="1">
      <alignment horizontal="justify" vertical="top"/>
    </xf>
    <xf numFmtId="2" fontId="0" fillId="0" borderId="0" xfId="0" applyNumberFormat="1" applyFont="1" applyBorder="1" applyAlignment="1">
      <alignment horizontal="justify" vertical="top" wrapText="1"/>
    </xf>
    <xf numFmtId="2" fontId="3" fillId="0" borderId="0" xfId="0" applyNumberFormat="1" applyFont="1" applyBorder="1" applyAlignment="1">
      <alignment/>
    </xf>
    <xf numFmtId="2" fontId="0" fillId="0" borderId="0" xfId="0" applyNumberFormat="1" applyFont="1" applyBorder="1" applyAlignment="1">
      <alignment/>
    </xf>
    <xf numFmtId="2" fontId="5" fillId="0" borderId="0" xfId="0" applyNumberFormat="1" applyFont="1" applyFill="1" applyAlignment="1">
      <alignment/>
    </xf>
    <xf numFmtId="2" fontId="2" fillId="0" borderId="0" xfId="0" applyNumberFormat="1" applyFont="1" applyFill="1" applyAlignment="1">
      <alignment/>
    </xf>
    <xf numFmtId="2" fontId="2" fillId="0" borderId="0" xfId="42" applyNumberFormat="1" applyFont="1" applyFill="1" applyAlignment="1">
      <alignment/>
    </xf>
    <xf numFmtId="2" fontId="0" fillId="0" borderId="0" xfId="0" applyNumberFormat="1" applyFont="1" applyFill="1" applyAlignment="1">
      <alignment horizontal="justify"/>
    </xf>
    <xf numFmtId="0" fontId="0" fillId="0" borderId="16" xfId="0" applyBorder="1" applyAlignment="1">
      <alignment/>
    </xf>
    <xf numFmtId="0" fontId="34" fillId="0" borderId="17" xfId="0" applyFont="1" applyFill="1" applyBorder="1" applyAlignment="1">
      <alignment/>
    </xf>
    <xf numFmtId="0" fontId="0" fillId="0" borderId="0" xfId="0" applyFill="1" applyAlignment="1">
      <alignment/>
    </xf>
    <xf numFmtId="2" fontId="7" fillId="0" borderId="0" xfId="0" applyNumberFormat="1" applyFont="1" applyAlignment="1">
      <alignment/>
    </xf>
    <xf numFmtId="0" fontId="3" fillId="0" borderId="0" xfId="0" applyFont="1" applyBorder="1" applyAlignment="1">
      <alignment horizontal="right" vertical="top"/>
    </xf>
    <xf numFmtId="43" fontId="3" fillId="0" borderId="0" xfId="42" applyFont="1" applyBorder="1" applyAlignment="1" applyProtection="1">
      <alignment horizontal="right" vertical="top"/>
      <protection/>
    </xf>
    <xf numFmtId="0" fontId="3" fillId="0" borderId="0" xfId="0" applyFont="1" applyFill="1" applyBorder="1" applyAlignment="1">
      <alignment horizontal="right" vertical="top"/>
    </xf>
    <xf numFmtId="4" fontId="27" fillId="0" borderId="0" xfId="42" applyNumberFormat="1" applyFont="1" applyFill="1" applyAlignment="1">
      <alignment horizontal="right"/>
    </xf>
    <xf numFmtId="4" fontId="27" fillId="0" borderId="0" xfId="42" applyNumberFormat="1" applyFont="1" applyFill="1" applyBorder="1" applyAlignment="1">
      <alignment horizontal="right"/>
    </xf>
    <xf numFmtId="2" fontId="3" fillId="0" borderId="0" xfId="0" applyNumberFormat="1" applyFont="1" applyAlignment="1">
      <alignment horizontal="right"/>
    </xf>
    <xf numFmtId="4" fontId="7" fillId="0" borderId="0" xfId="0" applyNumberFormat="1" applyFont="1" applyAlignment="1">
      <alignment/>
    </xf>
    <xf numFmtId="4" fontId="27" fillId="0" borderId="0" xfId="0" applyNumberFormat="1" applyFont="1" applyFill="1" applyAlignment="1">
      <alignment horizontal="right"/>
    </xf>
    <xf numFmtId="4" fontId="3" fillId="0" borderId="0" xfId="0" applyNumberFormat="1" applyFont="1" applyAlignment="1">
      <alignment horizontal="right" vertical="top"/>
    </xf>
    <xf numFmtId="4" fontId="27" fillId="0" borderId="12" xfId="42" applyNumberFormat="1" applyFont="1" applyFill="1" applyBorder="1" applyAlignment="1">
      <alignment horizontal="right"/>
    </xf>
    <xf numFmtId="4" fontId="27" fillId="0" borderId="10" xfId="42" applyNumberFormat="1" applyFont="1" applyFill="1" applyBorder="1" applyAlignment="1">
      <alignment horizontal="right"/>
    </xf>
    <xf numFmtId="4" fontId="27" fillId="0" borderId="13" xfId="0" applyNumberFormat="1" applyFont="1" applyFill="1" applyBorder="1" applyAlignment="1">
      <alignment horizontal="right"/>
    </xf>
    <xf numFmtId="4" fontId="28" fillId="0" borderId="0" xfId="0" applyNumberFormat="1" applyFont="1" applyFill="1" applyAlignment="1">
      <alignment horizontal="right"/>
    </xf>
    <xf numFmtId="0" fontId="34" fillId="0" borderId="15" xfId="0" applyFont="1" applyFill="1" applyBorder="1" applyAlignment="1">
      <alignment horizontal="center"/>
    </xf>
    <xf numFmtId="0" fontId="0" fillId="0" borderId="0" xfId="0" applyFont="1" applyAlignment="1">
      <alignment wrapText="1" readingOrder="1"/>
    </xf>
    <xf numFmtId="43" fontId="10" fillId="0" borderId="0" xfId="42" applyFont="1" applyAlignment="1" applyProtection="1">
      <alignment vertical="justify"/>
      <protection/>
    </xf>
    <xf numFmtId="43" fontId="10" fillId="0" borderId="0" xfId="42" applyFont="1" applyFill="1" applyAlignment="1" applyProtection="1">
      <alignment vertical="justify"/>
      <protection/>
    </xf>
    <xf numFmtId="43" fontId="10" fillId="0" borderId="10" xfId="42" applyFont="1" applyFill="1" applyBorder="1" applyAlignment="1">
      <alignment vertical="justify"/>
    </xf>
    <xf numFmtId="43" fontId="27" fillId="0" borderId="0" xfId="42" applyFont="1" applyBorder="1" applyAlignment="1">
      <alignment/>
    </xf>
    <xf numFmtId="43" fontId="27" fillId="0" borderId="0" xfId="42" applyFont="1" applyAlignment="1">
      <alignment horizontal="right"/>
    </xf>
    <xf numFmtId="2" fontId="0" fillId="0" borderId="0" xfId="0" applyNumberFormat="1" applyFont="1" applyFill="1" applyAlignment="1">
      <alignment/>
    </xf>
    <xf numFmtId="2" fontId="0" fillId="0" borderId="0" xfId="0" applyNumberFormat="1" applyFont="1" applyAlignment="1">
      <alignment horizontal="right"/>
    </xf>
    <xf numFmtId="4" fontId="27" fillId="0" borderId="10" xfId="42" applyNumberFormat="1" applyFont="1" applyBorder="1" applyAlignment="1">
      <alignment horizontal="right"/>
    </xf>
    <xf numFmtId="4" fontId="27" fillId="0" borderId="10" xfId="42" applyNumberFormat="1" applyFont="1" applyBorder="1" applyAlignment="1">
      <alignment horizontal="center"/>
    </xf>
    <xf numFmtId="4" fontId="27" fillId="0" borderId="10" xfId="0" applyNumberFormat="1" applyFont="1" applyBorder="1" applyAlignment="1">
      <alignment horizontal="right"/>
    </xf>
    <xf numFmtId="2" fontId="0" fillId="0" borderId="0" xfId="0" applyNumberFormat="1" applyFont="1" applyAlignment="1">
      <alignment/>
    </xf>
    <xf numFmtId="43" fontId="0" fillId="0" borderId="0" xfId="0" applyNumberFormat="1" applyFont="1" applyAlignment="1">
      <alignment/>
    </xf>
    <xf numFmtId="2" fontId="6" fillId="0" borderId="0" xfId="0" applyNumberFormat="1" applyFont="1" applyAlignment="1">
      <alignment horizontal="justify" vertical="top"/>
    </xf>
    <xf numFmtId="2" fontId="0" fillId="0" borderId="0" xfId="0" applyNumberFormat="1" applyFont="1" applyFill="1" applyAlignment="1">
      <alignment vertical="top"/>
    </xf>
    <xf numFmtId="2" fontId="3" fillId="0" borderId="0" xfId="0" applyNumberFormat="1" applyFont="1" applyBorder="1" applyAlignment="1" applyProtection="1">
      <alignment horizontal="justify" vertical="top"/>
      <protection/>
    </xf>
    <xf numFmtId="2" fontId="3" fillId="0" borderId="0" xfId="0" applyNumberFormat="1" applyFont="1" applyAlignment="1">
      <alignment horizontal="justify"/>
    </xf>
    <xf numFmtId="2" fontId="0" fillId="0" borderId="0" xfId="42" applyNumberFormat="1" applyFont="1" applyAlignment="1">
      <alignment horizontal="right"/>
    </xf>
    <xf numFmtId="2" fontId="2" fillId="0" borderId="0" xfId="42" applyNumberFormat="1" applyFont="1" applyFill="1" applyAlignment="1">
      <alignment horizontal="right"/>
    </xf>
    <xf numFmtId="2" fontId="0" fillId="0" borderId="0" xfId="42" applyNumberFormat="1" applyFont="1" applyAlignment="1">
      <alignment horizontal="justify" vertical="top"/>
    </xf>
    <xf numFmtId="2" fontId="0" fillId="0" borderId="0" xfId="0" applyNumberFormat="1" applyFont="1" applyFill="1" applyAlignment="1">
      <alignment horizontal="right"/>
    </xf>
    <xf numFmtId="2" fontId="3" fillId="0" borderId="0" xfId="42" applyNumberFormat="1" applyFont="1" applyAlignment="1">
      <alignment horizontal="right"/>
    </xf>
    <xf numFmtId="2" fontId="0" fillId="0" borderId="0" xfId="42" applyNumberFormat="1" applyFont="1" applyFill="1" applyAlignment="1">
      <alignment horizontal="justify" vertical="top"/>
    </xf>
    <xf numFmtId="2" fontId="0" fillId="0" borderId="0" xfId="42" applyNumberFormat="1" applyFont="1" applyFill="1" applyAlignment="1">
      <alignment horizontal="right"/>
    </xf>
    <xf numFmtId="2" fontId="3" fillId="0" borderId="0" xfId="42" applyNumberFormat="1" applyFont="1" applyFill="1" applyAlignment="1">
      <alignment horizontal="right" vertical="top"/>
    </xf>
    <xf numFmtId="2" fontId="6" fillId="0" borderId="0" xfId="42" applyNumberFormat="1" applyFont="1" applyAlignment="1">
      <alignment horizontal="justify" vertical="top"/>
    </xf>
    <xf numFmtId="2" fontId="3" fillId="0" borderId="0" xfId="42" applyNumberFormat="1" applyFont="1" applyAlignment="1">
      <alignment horizontal="justify" vertical="top"/>
    </xf>
    <xf numFmtId="2" fontId="3" fillId="0" borderId="0" xfId="42" applyNumberFormat="1" applyFont="1" applyFill="1" applyAlignment="1">
      <alignment horizontal="right"/>
    </xf>
    <xf numFmtId="2" fontId="0" fillId="0" borderId="0" xfId="42" applyNumberFormat="1" applyFont="1" applyAlignment="1">
      <alignment/>
    </xf>
    <xf numFmtId="2" fontId="0" fillId="0" borderId="0" xfId="42" applyNumberFormat="1" applyFont="1" applyAlignment="1">
      <alignment/>
    </xf>
    <xf numFmtId="2" fontId="10" fillId="0" borderId="0" xfId="42" applyNumberFormat="1" applyFont="1" applyAlignment="1">
      <alignment/>
    </xf>
    <xf numFmtId="2" fontId="0" fillId="0" borderId="0" xfId="42" applyNumberFormat="1" applyFont="1" applyAlignment="1">
      <alignment vertical="top"/>
    </xf>
    <xf numFmtId="2" fontId="0" fillId="0" borderId="0" xfId="42" applyNumberFormat="1" applyFont="1" applyAlignment="1">
      <alignment horizontal="justify"/>
    </xf>
    <xf numFmtId="2" fontId="3" fillId="0" borderId="0" xfId="42" applyNumberFormat="1" applyFont="1" applyAlignment="1">
      <alignment/>
    </xf>
    <xf numFmtId="2" fontId="3" fillId="0" borderId="0" xfId="0" applyNumberFormat="1" applyFont="1" applyBorder="1" applyAlignment="1">
      <alignment horizontal="right" vertical="top"/>
    </xf>
    <xf numFmtId="4" fontId="3" fillId="0" borderId="0" xfId="0" applyNumberFormat="1" applyFont="1" applyBorder="1" applyAlignment="1">
      <alignment horizontal="center"/>
    </xf>
    <xf numFmtId="43" fontId="3" fillId="0" borderId="0" xfId="42" applyFont="1" applyAlignment="1" applyProtection="1">
      <alignment horizontal="justify" vertical="top"/>
      <protection/>
    </xf>
    <xf numFmtId="2" fontId="3" fillId="0" borderId="0" xfId="42" applyNumberFormat="1" applyFont="1" applyAlignment="1">
      <alignment horizontal="center"/>
    </xf>
    <xf numFmtId="43" fontId="10" fillId="0" borderId="0" xfId="42" applyFont="1" applyBorder="1" applyAlignment="1" applyProtection="1">
      <alignment horizontal="justify"/>
      <protection/>
    </xf>
    <xf numFmtId="0" fontId="34" fillId="0" borderId="18" xfId="0" applyFont="1" applyFill="1" applyBorder="1" applyAlignment="1">
      <alignment/>
    </xf>
    <xf numFmtId="0" fontId="45" fillId="0" borderId="0" xfId="0" applyFont="1" applyFill="1" applyAlignment="1">
      <alignment horizontal="center"/>
    </xf>
    <xf numFmtId="0" fontId="46" fillId="0" borderId="0" xfId="0" applyFont="1" applyFill="1" applyAlignment="1">
      <alignment/>
    </xf>
    <xf numFmtId="43" fontId="34" fillId="0" borderId="15" xfId="0" applyNumberFormat="1" applyFont="1" applyBorder="1" applyAlignment="1">
      <alignment horizontal="right"/>
    </xf>
    <xf numFmtId="43" fontId="34" fillId="0" borderId="15" xfId="0" applyNumberFormat="1" applyFont="1" applyFill="1" applyBorder="1" applyAlignment="1">
      <alignment/>
    </xf>
    <xf numFmtId="43" fontId="0" fillId="0" borderId="15" xfId="0" applyNumberFormat="1" applyBorder="1" applyAlignment="1">
      <alignment/>
    </xf>
    <xf numFmtId="2" fontId="34" fillId="0" borderId="15" xfId="0" applyNumberFormat="1" applyFont="1" applyBorder="1" applyAlignment="1">
      <alignment horizontal="right"/>
    </xf>
    <xf numFmtId="171" fontId="34" fillId="0" borderId="15" xfId="0" applyNumberFormat="1" applyFont="1" applyBorder="1" applyAlignment="1">
      <alignment/>
    </xf>
    <xf numFmtId="168" fontId="34" fillId="0" borderId="15" xfId="0" applyNumberFormat="1" applyFont="1" applyBorder="1" applyAlignment="1">
      <alignment/>
    </xf>
    <xf numFmtId="0" fontId="0" fillId="0" borderId="19"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xf>
    <xf numFmtId="43" fontId="0" fillId="0" borderId="22" xfId="42" applyFill="1" applyBorder="1" applyAlignment="1">
      <alignment horizontal="center"/>
    </xf>
    <xf numFmtId="0" fontId="47" fillId="0" borderId="0" xfId="0" applyFont="1" applyFill="1" applyAlignment="1">
      <alignment/>
    </xf>
    <xf numFmtId="0" fontId="34" fillId="34" borderId="15" xfId="0" applyFont="1" applyFill="1" applyBorder="1" applyAlignment="1">
      <alignment/>
    </xf>
    <xf numFmtId="2" fontId="34" fillId="34" borderId="15" xfId="0" applyNumberFormat="1" applyFont="1" applyFill="1" applyBorder="1" applyAlignment="1">
      <alignment/>
    </xf>
    <xf numFmtId="0" fontId="0" fillId="35" borderId="0" xfId="0" applyFill="1" applyAlignment="1">
      <alignment/>
    </xf>
    <xf numFmtId="0" fontId="0" fillId="35" borderId="0" xfId="0" applyFill="1" applyBorder="1" applyAlignment="1">
      <alignment/>
    </xf>
    <xf numFmtId="2" fontId="0" fillId="35" borderId="0" xfId="0" applyNumberFormat="1" applyFill="1" applyBorder="1" applyAlignment="1">
      <alignment/>
    </xf>
    <xf numFmtId="0" fontId="0" fillId="36" borderId="0" xfId="0" applyFill="1" applyAlignment="1">
      <alignment/>
    </xf>
    <xf numFmtId="0" fontId="0" fillId="36" borderId="15" xfId="0" applyFill="1" applyBorder="1" applyAlignment="1">
      <alignment/>
    </xf>
    <xf numFmtId="0" fontId="34" fillId="36" borderId="15" xfId="0" applyFont="1" applyFill="1" applyBorder="1" applyAlignment="1">
      <alignment/>
    </xf>
    <xf numFmtId="2" fontId="34" fillId="36" borderId="15" xfId="0" applyNumberFormat="1" applyFont="1" applyFill="1" applyBorder="1" applyAlignment="1">
      <alignment/>
    </xf>
    <xf numFmtId="0" fontId="0" fillId="36" borderId="0" xfId="0" applyFill="1" applyBorder="1" applyAlignment="1">
      <alignment/>
    </xf>
    <xf numFmtId="0" fontId="0" fillId="34" borderId="15" xfId="0" applyFill="1" applyBorder="1" applyAlignment="1">
      <alignment/>
    </xf>
    <xf numFmtId="2" fontId="34" fillId="34" borderId="17" xfId="0" applyNumberFormat="1" applyFont="1" applyFill="1" applyBorder="1" applyAlignment="1">
      <alignment/>
    </xf>
    <xf numFmtId="0" fontId="34" fillId="34" borderId="17" xfId="0" applyFont="1" applyFill="1" applyBorder="1" applyAlignment="1">
      <alignment/>
    </xf>
    <xf numFmtId="0" fontId="37" fillId="37" borderId="15" xfId="0" applyFont="1" applyFill="1" applyBorder="1" applyAlignment="1">
      <alignment/>
    </xf>
    <xf numFmtId="0" fontId="37" fillId="37" borderId="15" xfId="0" applyFont="1" applyFill="1" applyBorder="1" applyAlignment="1">
      <alignment horizontal="center"/>
    </xf>
    <xf numFmtId="2" fontId="37" fillId="37" borderId="15" xfId="0" applyNumberFormat="1" applyFont="1" applyFill="1" applyBorder="1" applyAlignment="1">
      <alignment/>
    </xf>
    <xf numFmtId="0" fontId="37" fillId="0" borderId="15" xfId="0" applyFont="1" applyFill="1" applyBorder="1" applyAlignment="1">
      <alignment/>
    </xf>
    <xf numFmtId="0" fontId="37" fillId="0" borderId="15" xfId="0" applyFont="1" applyFill="1" applyBorder="1" applyAlignment="1">
      <alignment horizontal="center"/>
    </xf>
    <xf numFmtId="2" fontId="37" fillId="0" borderId="15" xfId="0" applyNumberFormat="1" applyFont="1" applyFill="1" applyBorder="1" applyAlignment="1">
      <alignment/>
    </xf>
    <xf numFmtId="0" fontId="37" fillId="37" borderId="16" xfId="0" applyFont="1" applyFill="1" applyBorder="1" applyAlignment="1">
      <alignment/>
    </xf>
    <xf numFmtId="43" fontId="37" fillId="37" borderId="15" xfId="0" applyNumberFormat="1" applyFont="1" applyFill="1" applyBorder="1" applyAlignment="1">
      <alignment/>
    </xf>
    <xf numFmtId="1" fontId="37" fillId="37" borderId="15" xfId="0" applyNumberFormat="1" applyFont="1" applyFill="1" applyBorder="1" applyAlignment="1">
      <alignment/>
    </xf>
    <xf numFmtId="0" fontId="3" fillId="37" borderId="0" xfId="0" applyFont="1" applyFill="1" applyBorder="1" applyAlignment="1">
      <alignment/>
    </xf>
    <xf numFmtId="0" fontId="3" fillId="37" borderId="0" xfId="0" applyFont="1" applyFill="1" applyAlignment="1">
      <alignment/>
    </xf>
    <xf numFmtId="165" fontId="34" fillId="0" borderId="15" xfId="0" applyNumberFormat="1" applyFont="1" applyBorder="1" applyAlignment="1">
      <alignment/>
    </xf>
    <xf numFmtId="2" fontId="34" fillId="0" borderId="15" xfId="0" applyNumberFormat="1" applyFont="1" applyBorder="1" applyAlignment="1">
      <alignment/>
    </xf>
    <xf numFmtId="0" fontId="34" fillId="0" borderId="15" xfId="0" applyFont="1" applyBorder="1" applyAlignment="1">
      <alignment/>
    </xf>
    <xf numFmtId="43" fontId="34" fillId="0" borderId="15" xfId="0" applyNumberFormat="1" applyFont="1" applyBorder="1" applyAlignment="1">
      <alignment/>
    </xf>
    <xf numFmtId="0" fontId="34" fillId="0" borderId="16" xfId="0" applyFont="1" applyBorder="1" applyAlignment="1">
      <alignment/>
    </xf>
    <xf numFmtId="0" fontId="34" fillId="0" borderId="15" xfId="0" applyFont="1" applyBorder="1" applyAlignment="1">
      <alignment horizontal="center"/>
    </xf>
    <xf numFmtId="9" fontId="34" fillId="0" borderId="15" xfId="0" applyNumberFormat="1" applyFont="1" applyBorder="1" applyAlignment="1">
      <alignment/>
    </xf>
    <xf numFmtId="0" fontId="34" fillId="36" borderId="15" xfId="0" applyFont="1" applyFill="1" applyBorder="1" applyAlignment="1">
      <alignment/>
    </xf>
    <xf numFmtId="0" fontId="34" fillId="34" borderId="15" xfId="0" applyFont="1" applyFill="1" applyBorder="1" applyAlignment="1">
      <alignment/>
    </xf>
    <xf numFmtId="2" fontId="34" fillId="0" borderId="17" xfId="0" applyNumberFormat="1" applyFont="1" applyFill="1" applyBorder="1" applyAlignment="1">
      <alignment/>
    </xf>
    <xf numFmtId="0" fontId="37" fillId="37" borderId="15" xfId="0" applyFont="1" applyFill="1" applyBorder="1" applyAlignment="1">
      <alignment/>
    </xf>
    <xf numFmtId="2" fontId="37" fillId="37" borderId="15" xfId="0" applyNumberFormat="1" applyFont="1" applyFill="1" applyBorder="1" applyAlignment="1">
      <alignment horizontal="center"/>
    </xf>
    <xf numFmtId="0" fontId="3" fillId="37" borderId="15" xfId="0" applyFont="1" applyFill="1" applyBorder="1" applyAlignment="1">
      <alignment/>
    </xf>
    <xf numFmtId="4" fontId="37" fillId="37" borderId="15" xfId="0" applyNumberFormat="1" applyFont="1" applyFill="1" applyBorder="1" applyAlignment="1">
      <alignment horizontal="center"/>
    </xf>
    <xf numFmtId="4" fontId="37" fillId="37" borderId="15" xfId="0" applyNumberFormat="1" applyFont="1" applyFill="1" applyBorder="1" applyAlignment="1">
      <alignment/>
    </xf>
    <xf numFmtId="0" fontId="43" fillId="0" borderId="15" xfId="0" applyFont="1" applyBorder="1" applyAlignment="1">
      <alignment/>
    </xf>
    <xf numFmtId="2" fontId="43" fillId="0" borderId="15" xfId="0" applyNumberFormat="1" applyFont="1" applyBorder="1" applyAlignment="1">
      <alignment/>
    </xf>
    <xf numFmtId="0" fontId="85" fillId="37" borderId="15" xfId="0" applyFont="1" applyFill="1" applyBorder="1" applyAlignment="1">
      <alignment/>
    </xf>
    <xf numFmtId="0" fontId="43" fillId="0" borderId="15" xfId="0" applyFont="1" applyFill="1" applyBorder="1" applyAlignment="1">
      <alignment/>
    </xf>
    <xf numFmtId="0" fontId="43" fillId="0" borderId="15" xfId="0" applyFont="1" applyBorder="1" applyAlignment="1">
      <alignment vertical="top" wrapText="1"/>
    </xf>
    <xf numFmtId="0" fontId="43" fillId="0" borderId="15" xfId="0" applyNumberFormat="1" applyFont="1" applyBorder="1" applyAlignment="1" applyProtection="1">
      <alignment horizontal="justify" vertical="top" wrapText="1"/>
      <protection/>
    </xf>
    <xf numFmtId="0" fontId="43" fillId="0" borderId="15" xfId="0" applyNumberFormat="1" applyFont="1" applyBorder="1" applyAlignment="1" applyProtection="1">
      <alignment horizontal="justify" vertical="top"/>
      <protection/>
    </xf>
    <xf numFmtId="0" fontId="43" fillId="0" borderId="15" xfId="0" applyNumberFormat="1" applyFont="1" applyBorder="1" applyAlignment="1">
      <alignment horizontal="justify" vertical="top"/>
    </xf>
    <xf numFmtId="0" fontId="0" fillId="38" borderId="0" xfId="0" applyFill="1" applyAlignment="1">
      <alignment/>
    </xf>
    <xf numFmtId="0" fontId="0" fillId="34" borderId="0" xfId="0" applyFill="1" applyAlignment="1">
      <alignment horizontal="center"/>
    </xf>
    <xf numFmtId="0" fontId="0" fillId="34" borderId="0" xfId="0" applyFill="1" applyAlignment="1">
      <alignment/>
    </xf>
    <xf numFmtId="2" fontId="0" fillId="34" borderId="0" xfId="0" applyNumberFormat="1" applyFill="1" applyAlignment="1">
      <alignment/>
    </xf>
    <xf numFmtId="0" fontId="0" fillId="38" borderId="0" xfId="0" applyFill="1" applyAlignment="1">
      <alignment/>
    </xf>
    <xf numFmtId="0" fontId="34" fillId="34" borderId="0" xfId="0" applyFont="1" applyFill="1" applyAlignment="1">
      <alignment/>
    </xf>
    <xf numFmtId="0" fontId="3" fillId="34" borderId="0" xfId="0" applyFont="1" applyFill="1" applyAlignment="1">
      <alignment/>
    </xf>
    <xf numFmtId="4" fontId="0" fillId="34" borderId="0" xfId="0" applyNumberFormat="1" applyFill="1" applyAlignment="1">
      <alignment/>
    </xf>
    <xf numFmtId="189" fontId="1" fillId="34" borderId="0" xfId="0" applyNumberFormat="1" applyFont="1" applyFill="1" applyBorder="1" applyAlignment="1">
      <alignment horizontal="center" wrapText="1"/>
    </xf>
    <xf numFmtId="0" fontId="6" fillId="34" borderId="0" xfId="0" applyFont="1" applyFill="1" applyBorder="1" applyAlignment="1">
      <alignment horizontal="right" wrapText="1"/>
    </xf>
    <xf numFmtId="0" fontId="33" fillId="34" borderId="0" xfId="0" applyFont="1" applyFill="1" applyBorder="1" applyAlignment="1">
      <alignment wrapText="1"/>
    </xf>
    <xf numFmtId="189" fontId="53" fillId="34" borderId="23" xfId="0" applyNumberFormat="1" applyFont="1" applyFill="1" applyBorder="1" applyAlignment="1">
      <alignment horizontal="center" wrapText="1"/>
    </xf>
    <xf numFmtId="0" fontId="53" fillId="34" borderId="24" xfId="0" applyFont="1" applyFill="1" applyBorder="1" applyAlignment="1">
      <alignment horizontal="center" wrapText="1"/>
    </xf>
    <xf numFmtId="0" fontId="53" fillId="34" borderId="25" xfId="0" applyFont="1" applyFill="1" applyBorder="1" applyAlignment="1">
      <alignment horizontal="center" wrapText="1"/>
    </xf>
    <xf numFmtId="189" fontId="54" fillId="34" borderId="26" xfId="0" applyNumberFormat="1" applyFont="1" applyFill="1" applyBorder="1" applyAlignment="1">
      <alignment horizontal="center" vertical="top" wrapText="1"/>
    </xf>
    <xf numFmtId="0" fontId="54" fillId="34" borderId="17" xfId="0" applyFont="1" applyFill="1" applyBorder="1" applyAlignment="1">
      <alignment vertical="top" wrapText="1"/>
    </xf>
    <xf numFmtId="0" fontId="54" fillId="34" borderId="27" xfId="0" applyFont="1" applyFill="1" applyBorder="1" applyAlignment="1">
      <alignment vertical="top" wrapText="1"/>
    </xf>
    <xf numFmtId="4" fontId="3" fillId="34" borderId="22" xfId="0" applyNumberFormat="1" applyFont="1" applyFill="1" applyBorder="1" applyAlignment="1">
      <alignment horizontal="right" vertical="top" wrapText="1"/>
    </xf>
    <xf numFmtId="4" fontId="3" fillId="34" borderId="22" xfId="0" applyNumberFormat="1" applyFont="1" applyFill="1" applyBorder="1" applyAlignment="1">
      <alignment vertical="top" wrapText="1"/>
    </xf>
    <xf numFmtId="189" fontId="56" fillId="34" borderId="21" xfId="0" applyNumberFormat="1" applyFont="1" applyFill="1" applyBorder="1" applyAlignment="1">
      <alignment horizontal="center" wrapText="1"/>
    </xf>
    <xf numFmtId="4" fontId="3" fillId="34" borderId="22" xfId="0" applyNumberFormat="1" applyFont="1" applyFill="1" applyBorder="1" applyAlignment="1">
      <alignment horizontal="right" wrapText="1"/>
    </xf>
    <xf numFmtId="0" fontId="58" fillId="34" borderId="15" xfId="0" applyFont="1" applyFill="1" applyBorder="1" applyAlignment="1">
      <alignment wrapText="1"/>
    </xf>
    <xf numFmtId="0" fontId="58" fillId="34" borderId="15" xfId="0" applyFont="1" applyFill="1" applyBorder="1" applyAlignment="1">
      <alignment horizontal="left" wrapText="1"/>
    </xf>
    <xf numFmtId="189" fontId="60" fillId="34" borderId="21" xfId="0" applyNumberFormat="1" applyFont="1" applyFill="1" applyBorder="1" applyAlignment="1">
      <alignment horizontal="center" wrapText="1"/>
    </xf>
    <xf numFmtId="0" fontId="56" fillId="34" borderId="15" xfId="0" applyFont="1" applyFill="1" applyBorder="1" applyAlignment="1">
      <alignment wrapText="1"/>
    </xf>
    <xf numFmtId="4" fontId="3" fillId="34" borderId="22" xfId="0" applyNumberFormat="1" applyFont="1" applyFill="1" applyBorder="1" applyAlignment="1">
      <alignment wrapText="1"/>
    </xf>
    <xf numFmtId="189" fontId="61" fillId="34" borderId="21" xfId="0" applyNumberFormat="1" applyFont="1" applyFill="1" applyBorder="1" applyAlignment="1">
      <alignment horizontal="center" wrapText="1"/>
    </xf>
    <xf numFmtId="0" fontId="62" fillId="34" borderId="15" xfId="0" applyFont="1" applyFill="1" applyBorder="1" applyAlignment="1">
      <alignment wrapText="1"/>
    </xf>
    <xf numFmtId="0" fontId="59" fillId="34" borderId="15" xfId="0" applyFont="1" applyFill="1" applyBorder="1" applyAlignment="1">
      <alignment wrapText="1"/>
    </xf>
    <xf numFmtId="0" fontId="63" fillId="34" borderId="15" xfId="0" applyFont="1" applyFill="1" applyBorder="1" applyAlignment="1">
      <alignment wrapText="1"/>
    </xf>
    <xf numFmtId="189" fontId="64" fillId="34" borderId="21" xfId="0" applyNumberFormat="1" applyFont="1" applyFill="1" applyBorder="1" applyAlignment="1">
      <alignment horizontal="center" wrapText="1"/>
    </xf>
    <xf numFmtId="0" fontId="60" fillId="34" borderId="15" xfId="0" applyFont="1" applyFill="1" applyBorder="1" applyAlignment="1">
      <alignment wrapText="1"/>
    </xf>
    <xf numFmtId="0" fontId="66" fillId="34" borderId="15" xfId="0" applyFont="1" applyFill="1" applyBorder="1" applyAlignment="1">
      <alignment wrapText="1"/>
    </xf>
    <xf numFmtId="0" fontId="0" fillId="34" borderId="15" xfId="0" applyFont="1" applyFill="1" applyBorder="1" applyAlignment="1">
      <alignment wrapText="1"/>
    </xf>
    <xf numFmtId="0" fontId="24" fillId="34" borderId="15" xfId="0" applyFont="1" applyFill="1" applyBorder="1" applyAlignment="1">
      <alignment wrapText="1"/>
    </xf>
    <xf numFmtId="189" fontId="1" fillId="34" borderId="21" xfId="0" applyNumberFormat="1" applyFont="1" applyFill="1" applyBorder="1" applyAlignment="1">
      <alignment horizontal="center" wrapText="1"/>
    </xf>
    <xf numFmtId="0" fontId="0" fillId="34" borderId="15" xfId="0" applyFont="1" applyFill="1" applyBorder="1" applyAlignment="1">
      <alignment horizontal="left" wrapText="1"/>
    </xf>
    <xf numFmtId="0" fontId="75" fillId="34" borderId="15" xfId="0" applyFont="1" applyFill="1" applyBorder="1" applyAlignment="1">
      <alignment horizontal="right" wrapText="1"/>
    </xf>
    <xf numFmtId="189" fontId="3" fillId="34" borderId="21" xfId="0" applyNumberFormat="1" applyFont="1" applyFill="1" applyBorder="1" applyAlignment="1">
      <alignment horizontal="center" wrapText="1"/>
    </xf>
    <xf numFmtId="0" fontId="33" fillId="34" borderId="15" xfId="0" applyFont="1" applyFill="1" applyBorder="1" applyAlignment="1">
      <alignment wrapText="1"/>
    </xf>
    <xf numFmtId="0" fontId="34" fillId="34" borderId="15" xfId="0" applyFont="1" applyFill="1" applyBorder="1" applyAlignment="1">
      <alignment wrapText="1"/>
    </xf>
    <xf numFmtId="189" fontId="38" fillId="34" borderId="21" xfId="0" applyNumberFormat="1" applyFont="1" applyFill="1" applyBorder="1" applyAlignment="1">
      <alignment horizontal="center" wrapText="1"/>
    </xf>
    <xf numFmtId="0" fontId="1" fillId="34" borderId="15" xfId="0" applyFont="1" applyFill="1" applyBorder="1" applyAlignment="1">
      <alignment wrapText="1"/>
    </xf>
    <xf numFmtId="0" fontId="77" fillId="34" borderId="21" xfId="0" applyFont="1" applyFill="1" applyBorder="1" applyAlignment="1">
      <alignment horizontal="right" wrapText="1"/>
    </xf>
    <xf numFmtId="0" fontId="75" fillId="34" borderId="15" xfId="0" applyFont="1" applyFill="1" applyBorder="1" applyAlignment="1">
      <alignment horizontal="center" wrapText="1"/>
    </xf>
    <xf numFmtId="0" fontId="75" fillId="34" borderId="21" xfId="0" applyFont="1" applyFill="1" applyBorder="1" applyAlignment="1">
      <alignment horizontal="right" wrapText="1"/>
    </xf>
    <xf numFmtId="0" fontId="75" fillId="34" borderId="15" xfId="0" applyFont="1" applyFill="1" applyBorder="1" applyAlignment="1">
      <alignment wrapText="1"/>
    </xf>
    <xf numFmtId="0" fontId="75" fillId="34" borderId="15" xfId="0" applyFont="1" applyFill="1" applyBorder="1" applyAlignment="1">
      <alignment horizontal="left" wrapText="1"/>
    </xf>
    <xf numFmtId="0" fontId="62" fillId="34" borderId="21" xfId="0" applyFont="1" applyFill="1" applyBorder="1" applyAlignment="1">
      <alignment wrapText="1"/>
    </xf>
    <xf numFmtId="0" fontId="75" fillId="34" borderId="21" xfId="0" applyFont="1" applyFill="1" applyBorder="1" applyAlignment="1">
      <alignment wrapText="1"/>
    </xf>
    <xf numFmtId="0" fontId="62" fillId="34" borderId="21" xfId="0" applyFont="1" applyFill="1" applyBorder="1" applyAlignment="1">
      <alignment horizontal="right" wrapText="1"/>
    </xf>
    <xf numFmtId="0" fontId="75" fillId="34" borderId="21" xfId="0" applyFont="1" applyFill="1" applyBorder="1" applyAlignment="1">
      <alignment/>
    </xf>
    <xf numFmtId="0" fontId="75" fillId="34" borderId="15" xfId="0" applyFont="1" applyFill="1" applyBorder="1" applyAlignment="1">
      <alignment/>
    </xf>
    <xf numFmtId="4" fontId="3" fillId="34" borderId="22" xfId="0" applyNumberFormat="1" applyFont="1" applyFill="1" applyBorder="1" applyAlignment="1">
      <alignment/>
    </xf>
    <xf numFmtId="189" fontId="0" fillId="34" borderId="21" xfId="0" applyNumberFormat="1" applyFill="1" applyBorder="1" applyAlignment="1">
      <alignment horizontal="center"/>
    </xf>
    <xf numFmtId="0" fontId="56" fillId="34" borderId="21" xfId="0" applyFont="1" applyFill="1" applyBorder="1" applyAlignment="1">
      <alignment horizontal="right" wrapText="1"/>
    </xf>
    <xf numFmtId="0" fontId="74" fillId="34" borderId="15" xfId="0" applyFont="1" applyFill="1" applyBorder="1" applyAlignment="1">
      <alignment wrapText="1"/>
    </xf>
    <xf numFmtId="0" fontId="74" fillId="34" borderId="21" xfId="0" applyFont="1" applyFill="1" applyBorder="1" applyAlignment="1">
      <alignment horizontal="right" wrapText="1"/>
    </xf>
    <xf numFmtId="0" fontId="74" fillId="34" borderId="15" xfId="0" applyFont="1" applyFill="1" applyBorder="1" applyAlignment="1">
      <alignment horizontal="left" wrapText="1"/>
    </xf>
    <xf numFmtId="0" fontId="56" fillId="34" borderId="21" xfId="0" applyFont="1" applyFill="1" applyBorder="1" applyAlignment="1">
      <alignment wrapText="1"/>
    </xf>
    <xf numFmtId="0" fontId="56" fillId="34" borderId="15" xfId="0" applyFont="1" applyFill="1" applyBorder="1" applyAlignment="1">
      <alignment horizontal="left" wrapText="1"/>
    </xf>
    <xf numFmtId="0" fontId="65" fillId="34" borderId="21" xfId="0" applyFont="1" applyFill="1" applyBorder="1" applyAlignment="1">
      <alignment wrapText="1"/>
    </xf>
    <xf numFmtId="0" fontId="65" fillId="34" borderId="15" xfId="0" applyFont="1" applyFill="1" applyBorder="1" applyAlignment="1">
      <alignment horizontal="left" wrapText="1"/>
    </xf>
    <xf numFmtId="0" fontId="84" fillId="34" borderId="15" xfId="0" applyFont="1" applyFill="1" applyBorder="1" applyAlignment="1">
      <alignment horizontal="left" wrapText="1"/>
    </xf>
    <xf numFmtId="0" fontId="81" fillId="34" borderId="21" xfId="0" applyFont="1" applyFill="1" applyBorder="1" applyAlignment="1">
      <alignment wrapText="1"/>
    </xf>
    <xf numFmtId="0" fontId="82" fillId="34" borderId="21" xfId="0" applyFont="1" applyFill="1" applyBorder="1" applyAlignment="1">
      <alignment wrapText="1"/>
    </xf>
    <xf numFmtId="0" fontId="59" fillId="34" borderId="15" xfId="0" applyFont="1" applyFill="1" applyBorder="1" applyAlignment="1">
      <alignment horizontal="left" wrapText="1"/>
    </xf>
    <xf numFmtId="0" fontId="11" fillId="34" borderId="15" xfId="0" applyFont="1" applyFill="1" applyBorder="1" applyAlignment="1">
      <alignment horizontal="left" wrapText="1"/>
    </xf>
    <xf numFmtId="0" fontId="83" fillId="34" borderId="21" xfId="0" applyFont="1" applyFill="1" applyBorder="1" applyAlignment="1">
      <alignment wrapText="1"/>
    </xf>
    <xf numFmtId="0" fontId="60" fillId="34" borderId="21" xfId="0" applyFont="1" applyFill="1" applyBorder="1" applyAlignment="1">
      <alignment wrapText="1"/>
    </xf>
    <xf numFmtId="0" fontId="65" fillId="34" borderId="21" xfId="0" applyFont="1" applyFill="1" applyBorder="1" applyAlignment="1">
      <alignment horizontal="right" wrapText="1"/>
    </xf>
    <xf numFmtId="0" fontId="50" fillId="34" borderId="21" xfId="0" applyFont="1" applyFill="1" applyBorder="1" applyAlignment="1">
      <alignment horizontal="right" wrapText="1"/>
    </xf>
    <xf numFmtId="0" fontId="60" fillId="34" borderId="21" xfId="0" applyFont="1" applyFill="1" applyBorder="1" applyAlignment="1">
      <alignment horizontal="right" wrapText="1"/>
    </xf>
    <xf numFmtId="0" fontId="89" fillId="34" borderId="21" xfId="0" applyFont="1" applyFill="1" applyBorder="1" applyAlignment="1">
      <alignment horizontal="right" wrapText="1"/>
    </xf>
    <xf numFmtId="0" fontId="77" fillId="34" borderId="15" xfId="0" applyFont="1" applyFill="1" applyBorder="1" applyAlignment="1">
      <alignment wrapText="1"/>
    </xf>
    <xf numFmtId="0" fontId="90" fillId="34" borderId="21" xfId="0" applyFont="1" applyFill="1" applyBorder="1" applyAlignment="1">
      <alignment horizontal="right" wrapText="1"/>
    </xf>
    <xf numFmtId="0" fontId="78" fillId="34" borderId="15" xfId="0" applyFont="1" applyFill="1" applyBorder="1" applyAlignment="1">
      <alignment wrapText="1"/>
    </xf>
    <xf numFmtId="0" fontId="3" fillId="34" borderId="21" xfId="0" applyFont="1" applyFill="1" applyBorder="1" applyAlignment="1">
      <alignment horizontal="right" wrapText="1"/>
    </xf>
    <xf numFmtId="0" fontId="72" fillId="34" borderId="15" xfId="0" applyFont="1" applyFill="1" applyBorder="1" applyAlignment="1">
      <alignment wrapText="1"/>
    </xf>
    <xf numFmtId="0" fontId="77" fillId="34" borderId="15" xfId="0" applyFont="1" applyFill="1" applyBorder="1" applyAlignment="1">
      <alignment horizontal="right" wrapText="1"/>
    </xf>
    <xf numFmtId="189" fontId="0" fillId="34" borderId="0" xfId="0" applyNumberFormat="1" applyFill="1" applyAlignment="1">
      <alignment horizontal="center"/>
    </xf>
    <xf numFmtId="0" fontId="68" fillId="34" borderId="0" xfId="0" applyFont="1" applyFill="1" applyAlignment="1">
      <alignment horizontal="center"/>
    </xf>
    <xf numFmtId="0" fontId="3" fillId="34" borderId="0" xfId="0" applyFont="1" applyFill="1" applyAlignment="1">
      <alignment horizontal="right"/>
    </xf>
    <xf numFmtId="0" fontId="34" fillId="34" borderId="0" xfId="0" applyFont="1" applyFill="1" applyBorder="1" applyAlignment="1">
      <alignment/>
    </xf>
    <xf numFmtId="0" fontId="37" fillId="34" borderId="28" xfId="0" applyFont="1" applyFill="1" applyBorder="1" applyAlignment="1">
      <alignment horizontal="center"/>
    </xf>
    <xf numFmtId="0" fontId="37" fillId="34" borderId="29" xfId="0" applyFont="1" applyFill="1" applyBorder="1" applyAlignment="1">
      <alignment horizontal="center"/>
    </xf>
    <xf numFmtId="0" fontId="37" fillId="34" borderId="30" xfId="0" applyFont="1" applyFill="1" applyBorder="1" applyAlignment="1">
      <alignment horizontal="center"/>
    </xf>
    <xf numFmtId="0" fontId="37" fillId="34" borderId="31" xfId="0" applyFont="1" applyFill="1" applyBorder="1" applyAlignment="1">
      <alignment horizontal="center"/>
    </xf>
    <xf numFmtId="0" fontId="37" fillId="34" borderId="32" xfId="0" applyFont="1" applyFill="1" applyBorder="1" applyAlignment="1">
      <alignment horizontal="center"/>
    </xf>
    <xf numFmtId="0" fontId="37" fillId="34" borderId="18" xfId="0" applyFont="1" applyFill="1" applyBorder="1" applyAlignment="1">
      <alignment horizontal="center"/>
    </xf>
    <xf numFmtId="0" fontId="37" fillId="34" borderId="33" xfId="0" applyFont="1" applyFill="1" applyBorder="1" applyAlignment="1">
      <alignment horizontal="center"/>
    </xf>
    <xf numFmtId="0" fontId="0" fillId="34" borderId="0" xfId="0" applyFill="1" applyBorder="1" applyAlignment="1">
      <alignment/>
    </xf>
    <xf numFmtId="0" fontId="37" fillId="34" borderId="0" xfId="0" applyFont="1" applyFill="1" applyBorder="1" applyAlignment="1">
      <alignment horizontal="center"/>
    </xf>
    <xf numFmtId="0" fontId="37" fillId="34" borderId="34" xfId="0" applyFont="1" applyFill="1" applyBorder="1" applyAlignment="1">
      <alignment horizontal="center"/>
    </xf>
    <xf numFmtId="0" fontId="37" fillId="34" borderId="17" xfId="0" applyFont="1" applyFill="1" applyBorder="1" applyAlignment="1">
      <alignment horizontal="center"/>
    </xf>
    <xf numFmtId="2" fontId="37" fillId="34" borderId="16" xfId="0" applyNumberFormat="1" applyFont="1" applyFill="1" applyBorder="1" applyAlignment="1">
      <alignment horizontal="center"/>
    </xf>
    <xf numFmtId="0" fontId="37" fillId="34" borderId="15" xfId="0" applyFont="1" applyFill="1" applyBorder="1" applyAlignment="1">
      <alignment horizontal="center"/>
    </xf>
    <xf numFmtId="0" fontId="37" fillId="34" borderId="35" xfId="0" applyFont="1" applyFill="1" applyBorder="1" applyAlignment="1">
      <alignment horizontal="center"/>
    </xf>
    <xf numFmtId="2" fontId="37" fillId="34" borderId="0" xfId="0" applyNumberFormat="1" applyFont="1" applyFill="1" applyBorder="1" applyAlignment="1">
      <alignment horizontal="center"/>
    </xf>
    <xf numFmtId="0" fontId="37" fillId="34" borderId="36" xfId="0" applyFont="1" applyFill="1" applyBorder="1" applyAlignment="1">
      <alignment horizontal="center"/>
    </xf>
    <xf numFmtId="0" fontId="3" fillId="34" borderId="29" xfId="0" applyFont="1" applyFill="1" applyBorder="1" applyAlignment="1">
      <alignment horizontal="center"/>
    </xf>
    <xf numFmtId="9" fontId="37" fillId="34" borderId="17" xfId="0" applyNumberFormat="1" applyFont="1" applyFill="1" applyBorder="1" applyAlignment="1">
      <alignment horizontal="center"/>
    </xf>
    <xf numFmtId="9" fontId="37" fillId="34" borderId="30" xfId="0" applyNumberFormat="1" applyFont="1" applyFill="1" applyBorder="1" applyAlignment="1">
      <alignment horizontal="right"/>
    </xf>
    <xf numFmtId="9" fontId="37" fillId="34" borderId="30" xfId="0" applyNumberFormat="1" applyFont="1" applyFill="1" applyBorder="1" applyAlignment="1">
      <alignment horizontal="center"/>
    </xf>
    <xf numFmtId="0" fontId="0" fillId="34" borderId="0" xfId="0" applyFill="1" applyAlignment="1" quotePrefix="1">
      <alignment/>
    </xf>
    <xf numFmtId="9" fontId="40" fillId="34" borderId="31" xfId="0" applyNumberFormat="1" applyFont="1" applyFill="1" applyBorder="1" applyAlignment="1" quotePrefix="1">
      <alignment horizontal="left" vertical="top" wrapText="1"/>
    </xf>
    <xf numFmtId="2" fontId="40" fillId="34" borderId="31" xfId="0" applyNumberFormat="1" applyFont="1" applyFill="1" applyBorder="1" applyAlignment="1" quotePrefix="1">
      <alignment horizontal="left" vertical="top" wrapText="1"/>
    </xf>
    <xf numFmtId="2" fontId="37" fillId="34" borderId="31" xfId="0" applyNumberFormat="1" applyFont="1" applyFill="1" applyBorder="1" applyAlignment="1">
      <alignment horizontal="center" wrapText="1"/>
    </xf>
    <xf numFmtId="0" fontId="0" fillId="34" borderId="35" xfId="0" applyFill="1" applyBorder="1" applyAlignment="1" quotePrefix="1">
      <alignment/>
    </xf>
    <xf numFmtId="0" fontId="37" fillId="34" borderId="37" xfId="0" applyFont="1" applyFill="1" applyBorder="1" applyAlignment="1">
      <alignment horizontal="center"/>
    </xf>
    <xf numFmtId="0" fontId="37" fillId="34" borderId="38" xfId="0" applyFont="1" applyFill="1" applyBorder="1" applyAlignment="1">
      <alignment horizontal="center"/>
    </xf>
    <xf numFmtId="9" fontId="37" fillId="34" borderId="17" xfId="0" applyNumberFormat="1" applyFont="1" applyFill="1" applyBorder="1" applyAlignment="1">
      <alignment horizontal="right"/>
    </xf>
    <xf numFmtId="2" fontId="37" fillId="34" borderId="18" xfId="0" applyNumberFormat="1" applyFont="1" applyFill="1" applyBorder="1" applyAlignment="1">
      <alignment horizontal="center"/>
    </xf>
    <xf numFmtId="0" fontId="43" fillId="34" borderId="18" xfId="0" applyFont="1" applyFill="1" applyBorder="1" applyAlignment="1">
      <alignment horizontal="center"/>
    </xf>
    <xf numFmtId="2" fontId="37" fillId="34" borderId="17" xfId="0" applyNumberFormat="1" applyFont="1" applyFill="1" applyBorder="1" applyAlignment="1">
      <alignment horizontal="center"/>
    </xf>
    <xf numFmtId="0" fontId="37" fillId="34" borderId="39" xfId="0" applyFont="1" applyFill="1" applyBorder="1" applyAlignment="1">
      <alignment horizontal="center"/>
    </xf>
    <xf numFmtId="0" fontId="37" fillId="34" borderId="40" xfId="0" applyFont="1" applyFill="1" applyBorder="1" applyAlignment="1">
      <alignment horizontal="center"/>
    </xf>
    <xf numFmtId="0" fontId="37" fillId="34" borderId="41" xfId="0" applyFont="1" applyFill="1" applyBorder="1" applyAlignment="1">
      <alignment horizontal="center"/>
    </xf>
    <xf numFmtId="0" fontId="37" fillId="34" borderId="42" xfId="0" applyFont="1" applyFill="1" applyBorder="1" applyAlignment="1">
      <alignment horizontal="center"/>
    </xf>
    <xf numFmtId="0" fontId="37" fillId="34" borderId="43" xfId="0" applyFont="1" applyFill="1" applyBorder="1" applyAlignment="1">
      <alignment horizontal="center"/>
    </xf>
    <xf numFmtId="0" fontId="37" fillId="34" borderId="44" xfId="0" applyFont="1" applyFill="1" applyBorder="1" applyAlignment="1">
      <alignment horizontal="center"/>
    </xf>
    <xf numFmtId="2" fontId="37" fillId="34" borderId="44" xfId="0" applyNumberFormat="1" applyFont="1" applyFill="1" applyBorder="1" applyAlignment="1">
      <alignment horizontal="center"/>
    </xf>
    <xf numFmtId="2" fontId="37" fillId="34" borderId="45" xfId="0" applyNumberFormat="1" applyFont="1" applyFill="1" applyBorder="1" applyAlignment="1">
      <alignment horizontal="center"/>
    </xf>
    <xf numFmtId="0" fontId="37" fillId="34" borderId="46" xfId="0" applyFont="1" applyFill="1" applyBorder="1" applyAlignment="1">
      <alignment horizontal="center"/>
    </xf>
    <xf numFmtId="0" fontId="37" fillId="34" borderId="47" xfId="0" applyFont="1" applyFill="1" applyBorder="1" applyAlignment="1">
      <alignment horizontal="center"/>
    </xf>
    <xf numFmtId="0" fontId="34" fillId="34" borderId="48" xfId="0" applyFont="1" applyFill="1" applyBorder="1" applyAlignment="1">
      <alignment/>
    </xf>
    <xf numFmtId="0" fontId="34" fillId="34" borderId="33" xfId="0" applyFont="1" applyFill="1" applyBorder="1" applyAlignment="1">
      <alignment/>
    </xf>
    <xf numFmtId="0" fontId="34" fillId="34" borderId="17" xfId="0" applyFont="1" applyFill="1" applyBorder="1" applyAlignment="1">
      <alignment horizontal="center"/>
    </xf>
    <xf numFmtId="3" fontId="34" fillId="34" borderId="17" xfId="0" applyNumberFormat="1" applyFont="1" applyFill="1" applyBorder="1" applyAlignment="1">
      <alignment/>
    </xf>
    <xf numFmtId="4" fontId="34" fillId="34" borderId="18" xfId="0" applyNumberFormat="1" applyFont="1" applyFill="1" applyBorder="1" applyAlignment="1">
      <alignment horizontal="right"/>
    </xf>
    <xf numFmtId="3" fontId="34" fillId="34" borderId="18" xfId="0" applyNumberFormat="1" applyFont="1" applyFill="1" applyBorder="1" applyAlignment="1">
      <alignment/>
    </xf>
    <xf numFmtId="2" fontId="34" fillId="34" borderId="32" xfId="0" applyNumberFormat="1" applyFont="1" applyFill="1" applyBorder="1" applyAlignment="1">
      <alignment/>
    </xf>
    <xf numFmtId="2" fontId="34" fillId="34" borderId="18" xfId="0" applyNumberFormat="1" applyFont="1" applyFill="1" applyBorder="1" applyAlignment="1">
      <alignment/>
    </xf>
    <xf numFmtId="0" fontId="34" fillId="34" borderId="18" xfId="0" applyFont="1" applyFill="1" applyBorder="1" applyAlignment="1">
      <alignment/>
    </xf>
    <xf numFmtId="2" fontId="34" fillId="34" borderId="49" xfId="0" applyNumberFormat="1" applyFont="1" applyFill="1" applyBorder="1" applyAlignment="1">
      <alignment/>
    </xf>
    <xf numFmtId="0" fontId="34" fillId="34" borderId="50" xfId="0" applyFont="1" applyFill="1" applyBorder="1" applyAlignment="1">
      <alignment/>
    </xf>
    <xf numFmtId="2" fontId="34" fillId="34" borderId="37" xfId="0" applyNumberFormat="1" applyFont="1" applyFill="1" applyBorder="1" applyAlignment="1">
      <alignment/>
    </xf>
    <xf numFmtId="0" fontId="34" fillId="34" borderId="51" xfId="0" applyFont="1" applyFill="1" applyBorder="1" applyAlignment="1">
      <alignment/>
    </xf>
    <xf numFmtId="0" fontId="34" fillId="34" borderId="15" xfId="0" applyFont="1" applyFill="1" applyBorder="1" applyAlignment="1">
      <alignment horizontal="center"/>
    </xf>
    <xf numFmtId="3" fontId="34" fillId="34" borderId="15" xfId="0" applyNumberFormat="1" applyFont="1" applyFill="1" applyBorder="1" applyAlignment="1">
      <alignment/>
    </xf>
    <xf numFmtId="2" fontId="34" fillId="34" borderId="39" xfId="0" applyNumberFormat="1" applyFont="1" applyFill="1" applyBorder="1" applyAlignment="1">
      <alignment/>
    </xf>
    <xf numFmtId="0" fontId="43" fillId="34" borderId="15" xfId="0" applyFont="1" applyFill="1" applyBorder="1" applyAlignment="1">
      <alignment horizontal="center"/>
    </xf>
    <xf numFmtId="4" fontId="34" fillId="34" borderId="15" xfId="0" applyNumberFormat="1" applyFont="1" applyFill="1" applyBorder="1" applyAlignment="1">
      <alignment horizontal="right"/>
    </xf>
    <xf numFmtId="174" fontId="34" fillId="34" borderId="15" xfId="0" applyNumberFormat="1" applyFont="1" applyFill="1" applyBorder="1" applyAlignment="1">
      <alignment/>
    </xf>
    <xf numFmtId="1" fontId="34" fillId="34" borderId="15" xfId="0" applyNumberFormat="1" applyFont="1" applyFill="1" applyBorder="1" applyAlignment="1">
      <alignment/>
    </xf>
    <xf numFmtId="0" fontId="34" fillId="34" borderId="15" xfId="0" applyFont="1" applyFill="1" applyBorder="1" applyAlignment="1">
      <alignment horizontal="right"/>
    </xf>
    <xf numFmtId="4" fontId="44" fillId="34" borderId="15" xfId="0" applyNumberFormat="1" applyFont="1" applyFill="1" applyBorder="1" applyAlignment="1">
      <alignment horizontal="right"/>
    </xf>
    <xf numFmtId="3" fontId="40" fillId="34" borderId="15" xfId="0" applyNumberFormat="1" applyFont="1" applyFill="1" applyBorder="1" applyAlignment="1">
      <alignment/>
    </xf>
    <xf numFmtId="2" fontId="0" fillId="34" borderId="15" xfId="0" applyNumberFormat="1" applyFill="1" applyBorder="1" applyAlignment="1">
      <alignment/>
    </xf>
    <xf numFmtId="4" fontId="34" fillId="34" borderId="15" xfId="0" applyNumberFormat="1" applyFont="1" applyFill="1" applyBorder="1" applyAlignment="1">
      <alignment/>
    </xf>
    <xf numFmtId="0" fontId="34" fillId="34" borderId="52" xfId="0" applyFont="1" applyFill="1" applyBorder="1" applyAlignment="1">
      <alignment/>
    </xf>
    <xf numFmtId="0" fontId="34" fillId="34" borderId="41" xfId="0" applyFont="1" applyFill="1" applyBorder="1" applyAlignment="1">
      <alignment/>
    </xf>
    <xf numFmtId="0" fontId="34" fillId="34" borderId="41" xfId="0" applyFont="1" applyFill="1" applyBorder="1" applyAlignment="1">
      <alignment horizontal="center"/>
    </xf>
    <xf numFmtId="3" fontId="34" fillId="34" borderId="41" xfId="0" applyNumberFormat="1" applyFont="1" applyFill="1" applyBorder="1" applyAlignment="1">
      <alignment/>
    </xf>
    <xf numFmtId="2" fontId="34" fillId="34" borderId="41" xfId="0" applyNumberFormat="1" applyFont="1" applyFill="1" applyBorder="1" applyAlignment="1">
      <alignment/>
    </xf>
    <xf numFmtId="2" fontId="34" fillId="34" borderId="47" xfId="0" applyNumberFormat="1" applyFont="1" applyFill="1" applyBorder="1" applyAlignment="1">
      <alignment/>
    </xf>
    <xf numFmtId="0" fontId="34" fillId="34" borderId="53" xfId="0" applyFont="1" applyFill="1" applyBorder="1" applyAlignment="1">
      <alignment/>
    </xf>
    <xf numFmtId="174" fontId="34" fillId="34" borderId="41" xfId="0" applyNumberFormat="1" applyFont="1" applyFill="1" applyBorder="1" applyAlignment="1">
      <alignment/>
    </xf>
    <xf numFmtId="4" fontId="34" fillId="34" borderId="46" xfId="0" applyNumberFormat="1" applyFont="1" applyFill="1" applyBorder="1" applyAlignment="1">
      <alignment horizontal="right"/>
    </xf>
    <xf numFmtId="3" fontId="34" fillId="34" borderId="46" xfId="0" applyNumberFormat="1" applyFont="1" applyFill="1" applyBorder="1" applyAlignment="1">
      <alignment/>
    </xf>
    <xf numFmtId="0" fontId="34" fillId="34" borderId="46" xfId="0" applyFont="1" applyFill="1" applyBorder="1" applyAlignment="1">
      <alignment/>
    </xf>
    <xf numFmtId="2" fontId="34" fillId="34" borderId="46" xfId="0" applyNumberFormat="1" applyFont="1" applyFill="1" applyBorder="1" applyAlignment="1">
      <alignment/>
    </xf>
    <xf numFmtId="0" fontId="0" fillId="34" borderId="0" xfId="0" applyFill="1" applyAlignment="1">
      <alignment horizontal="right"/>
    </xf>
    <xf numFmtId="0" fontId="18" fillId="34" borderId="0" xfId="0" applyFont="1" applyFill="1" applyAlignment="1">
      <alignment horizontal="center"/>
    </xf>
    <xf numFmtId="0" fontId="0" fillId="34" borderId="0" xfId="0" applyFill="1" applyBorder="1" applyAlignment="1">
      <alignment/>
    </xf>
    <xf numFmtId="0" fontId="0" fillId="38" borderId="0" xfId="0" applyFill="1" applyBorder="1" applyAlignment="1">
      <alignment/>
    </xf>
    <xf numFmtId="2" fontId="0" fillId="38" borderId="0" xfId="0" applyNumberFormat="1" applyFill="1" applyBorder="1" applyAlignment="1">
      <alignment horizontal="right"/>
    </xf>
    <xf numFmtId="0" fontId="0" fillId="38" borderId="0" xfId="0" applyFill="1" applyBorder="1" applyAlignment="1">
      <alignment/>
    </xf>
    <xf numFmtId="2" fontId="0" fillId="38" borderId="0" xfId="0" applyNumberFormat="1" applyFill="1" applyAlignment="1">
      <alignment horizontal="right"/>
    </xf>
    <xf numFmtId="2" fontId="0" fillId="34" borderId="0" xfId="0" applyNumberFormat="1" applyFill="1" applyAlignment="1">
      <alignment horizontal="center"/>
    </xf>
    <xf numFmtId="2" fontId="18" fillId="34" borderId="0" xfId="0" applyNumberFormat="1" applyFont="1" applyFill="1" applyAlignment="1">
      <alignment horizontal="center"/>
    </xf>
    <xf numFmtId="0" fontId="3" fillId="34" borderId="54" xfId="0" applyFont="1" applyFill="1" applyBorder="1" applyAlignment="1">
      <alignment horizontal="center" vertical="center"/>
    </xf>
    <xf numFmtId="0" fontId="3" fillId="34" borderId="55" xfId="0" applyFont="1" applyFill="1" applyBorder="1" applyAlignment="1">
      <alignment horizontal="center" vertical="center"/>
    </xf>
    <xf numFmtId="2" fontId="3" fillId="34" borderId="55" xfId="0" applyNumberFormat="1" applyFont="1" applyFill="1" applyBorder="1" applyAlignment="1">
      <alignment horizontal="center" vertical="center"/>
    </xf>
    <xf numFmtId="2" fontId="3" fillId="34" borderId="55" xfId="0" applyNumberFormat="1" applyFont="1" applyFill="1" applyBorder="1" applyAlignment="1">
      <alignment horizontal="center" vertical="center" wrapText="1"/>
    </xf>
    <xf numFmtId="2" fontId="3" fillId="34" borderId="56" xfId="0" applyNumberFormat="1" applyFont="1" applyFill="1" applyBorder="1" applyAlignment="1">
      <alignment horizontal="center" vertical="center" wrapText="1"/>
    </xf>
    <xf numFmtId="0" fontId="0" fillId="34" borderId="28" xfId="0" applyFill="1" applyBorder="1" applyAlignment="1">
      <alignment/>
    </xf>
    <xf numFmtId="0" fontId="0" fillId="34" borderId="30" xfId="0" applyFill="1" applyBorder="1" applyAlignment="1">
      <alignment/>
    </xf>
    <xf numFmtId="4" fontId="0" fillId="34" borderId="30" xfId="0" applyNumberFormat="1" applyFill="1" applyBorder="1" applyAlignment="1">
      <alignment horizontal="center"/>
    </xf>
    <xf numFmtId="4" fontId="0" fillId="34" borderId="30" xfId="0" applyNumberFormat="1" applyFill="1" applyBorder="1" applyAlignment="1">
      <alignment/>
    </xf>
    <xf numFmtId="4" fontId="0" fillId="34" borderId="36" xfId="0" applyNumberFormat="1" applyFill="1" applyBorder="1" applyAlignment="1">
      <alignment/>
    </xf>
    <xf numFmtId="0" fontId="0" fillId="34" borderId="53" xfId="0" applyFill="1" applyBorder="1" applyAlignment="1">
      <alignment/>
    </xf>
    <xf numFmtId="0" fontId="3" fillId="34" borderId="41" xfId="0" applyFont="1" applyFill="1" applyBorder="1" applyAlignment="1">
      <alignment horizontal="left"/>
    </xf>
    <xf numFmtId="4" fontId="0" fillId="34" borderId="41" xfId="0" applyNumberFormat="1" applyFill="1" applyBorder="1" applyAlignment="1">
      <alignment horizontal="center"/>
    </xf>
    <xf numFmtId="4" fontId="0" fillId="34" borderId="41" xfId="0" applyNumberFormat="1" applyFill="1" applyBorder="1" applyAlignment="1">
      <alignment/>
    </xf>
    <xf numFmtId="4" fontId="6" fillId="34" borderId="47" xfId="0" applyNumberFormat="1" applyFont="1" applyFill="1" applyBorder="1" applyAlignment="1">
      <alignment/>
    </xf>
    <xf numFmtId="2" fontId="0" fillId="34" borderId="30" xfId="0" applyNumberFormat="1" applyFill="1" applyBorder="1" applyAlignment="1">
      <alignment horizontal="center"/>
    </xf>
    <xf numFmtId="2" fontId="0" fillId="34" borderId="30" xfId="0" applyNumberFormat="1" applyFill="1" applyBorder="1" applyAlignment="1">
      <alignment/>
    </xf>
    <xf numFmtId="2" fontId="0" fillId="34" borderId="36" xfId="0" applyNumberFormat="1" applyFill="1" applyBorder="1" applyAlignment="1">
      <alignment/>
    </xf>
    <xf numFmtId="0" fontId="3" fillId="34" borderId="41" xfId="0" applyFont="1" applyFill="1" applyBorder="1" applyAlignment="1">
      <alignment horizontal="center"/>
    </xf>
    <xf numFmtId="0" fontId="16" fillId="34" borderId="0" xfId="0" applyFont="1" applyFill="1" applyAlignment="1">
      <alignment/>
    </xf>
    <xf numFmtId="2" fontId="0" fillId="34" borderId="0" xfId="0" applyNumberFormat="1" applyFill="1" applyAlignment="1">
      <alignment wrapText="1"/>
    </xf>
    <xf numFmtId="0" fontId="0" fillId="34" borderId="57" xfId="0" applyFill="1" applyBorder="1" applyAlignment="1">
      <alignment/>
    </xf>
    <xf numFmtId="0" fontId="0" fillId="34" borderId="58" xfId="0" applyFill="1" applyBorder="1" applyAlignment="1">
      <alignment/>
    </xf>
    <xf numFmtId="2" fontId="0" fillId="34" borderId="58" xfId="0" applyNumberFormat="1" applyFill="1" applyBorder="1" applyAlignment="1">
      <alignment horizontal="center"/>
    </xf>
    <xf numFmtId="2" fontId="0" fillId="34" borderId="58" xfId="0" applyNumberFormat="1" applyFill="1" applyBorder="1" applyAlignment="1">
      <alignment/>
    </xf>
    <xf numFmtId="2" fontId="0" fillId="34" borderId="34" xfId="0" applyNumberFormat="1" applyFill="1" applyBorder="1" applyAlignment="1">
      <alignment/>
    </xf>
    <xf numFmtId="0" fontId="3" fillId="34" borderId="0" xfId="0" applyFont="1" applyFill="1" applyBorder="1" applyAlignment="1">
      <alignment horizontal="center"/>
    </xf>
    <xf numFmtId="2" fontId="0" fillId="34" borderId="0" xfId="0" applyNumberFormat="1" applyFill="1" applyBorder="1" applyAlignment="1">
      <alignment horizontal="center"/>
    </xf>
    <xf numFmtId="2" fontId="0" fillId="34" borderId="0" xfId="0" applyNumberFormat="1" applyFill="1" applyBorder="1" applyAlignment="1">
      <alignment/>
    </xf>
    <xf numFmtId="2" fontId="16" fillId="34" borderId="0" xfId="0" applyNumberFormat="1" applyFont="1" applyFill="1" applyAlignment="1">
      <alignment/>
    </xf>
    <xf numFmtId="2" fontId="18" fillId="34" borderId="0" xfId="0" applyNumberFormat="1" applyFont="1" applyFill="1" applyAlignment="1">
      <alignment/>
    </xf>
    <xf numFmtId="2" fontId="0" fillId="34" borderId="41" xfId="0" applyNumberFormat="1" applyFill="1" applyBorder="1" applyAlignment="1">
      <alignment horizontal="center"/>
    </xf>
    <xf numFmtId="4" fontId="0" fillId="34" borderId="53" xfId="0" applyNumberFormat="1" applyFill="1" applyBorder="1" applyAlignment="1">
      <alignment/>
    </xf>
    <xf numFmtId="4" fontId="3" fillId="34" borderId="41" xfId="0" applyNumberFormat="1" applyFont="1" applyFill="1" applyBorder="1" applyAlignment="1">
      <alignment/>
    </xf>
    <xf numFmtId="4" fontId="3" fillId="34" borderId="41" xfId="0" applyNumberFormat="1" applyFont="1" applyFill="1" applyBorder="1" applyAlignment="1">
      <alignment horizontal="center"/>
    </xf>
    <xf numFmtId="4" fontId="3" fillId="34" borderId="47" xfId="0" applyNumberFormat="1" applyFont="1" applyFill="1" applyBorder="1" applyAlignment="1">
      <alignment/>
    </xf>
    <xf numFmtId="2" fontId="3" fillId="34" borderId="56" xfId="0" applyNumberFormat="1" applyFont="1" applyFill="1" applyBorder="1" applyAlignment="1">
      <alignment horizontal="center" vertical="center"/>
    </xf>
    <xf numFmtId="2" fontId="0" fillId="34" borderId="36" xfId="0" applyNumberFormat="1" applyFill="1" applyBorder="1" applyAlignment="1">
      <alignment horizontal="center"/>
    </xf>
    <xf numFmtId="4" fontId="0" fillId="34" borderId="28" xfId="0" applyNumberFormat="1" applyFill="1" applyBorder="1" applyAlignment="1">
      <alignment vertical="top"/>
    </xf>
    <xf numFmtId="4" fontId="0" fillId="34" borderId="30" xfId="0" applyNumberFormat="1" applyFill="1" applyBorder="1" applyAlignment="1">
      <alignment horizontal="justify" vertical="top" wrapText="1"/>
    </xf>
    <xf numFmtId="4" fontId="0" fillId="34" borderId="36" xfId="0" applyNumberFormat="1" applyFill="1" applyBorder="1" applyAlignment="1">
      <alignment horizontal="center"/>
    </xf>
    <xf numFmtId="4" fontId="0" fillId="34" borderId="28" xfId="0" applyNumberFormat="1" applyFill="1" applyBorder="1" applyAlignment="1">
      <alignment/>
    </xf>
    <xf numFmtId="4" fontId="3" fillId="34" borderId="47" xfId="0" applyNumberFormat="1" applyFont="1" applyFill="1" applyBorder="1" applyAlignment="1">
      <alignment horizontal="center"/>
    </xf>
    <xf numFmtId="4" fontId="0" fillId="34" borderId="0" xfId="0" applyNumberFormat="1" applyFill="1" applyAlignment="1">
      <alignment horizontal="center"/>
    </xf>
    <xf numFmtId="0" fontId="18" fillId="34" borderId="0" xfId="0" applyFont="1" applyFill="1" applyAlignment="1">
      <alignment/>
    </xf>
    <xf numFmtId="4" fontId="3" fillId="34" borderId="54" xfId="0" applyNumberFormat="1" applyFont="1" applyFill="1" applyBorder="1" applyAlignment="1">
      <alignment horizontal="center"/>
    </xf>
    <xf numFmtId="4" fontId="3" fillId="34" borderId="55" xfId="0" applyNumberFormat="1" applyFont="1" applyFill="1" applyBorder="1" applyAlignment="1">
      <alignment horizontal="center"/>
    </xf>
    <xf numFmtId="4" fontId="3" fillId="34" borderId="56" xfId="0" applyNumberFormat="1" applyFont="1" applyFill="1" applyBorder="1" applyAlignment="1">
      <alignment horizontal="center"/>
    </xf>
    <xf numFmtId="4" fontId="3" fillId="34" borderId="28" xfId="0" applyNumberFormat="1" applyFont="1" applyFill="1" applyBorder="1" applyAlignment="1">
      <alignment horizontal="center"/>
    </xf>
    <xf numFmtId="4" fontId="3" fillId="34" borderId="30" xfId="0" applyNumberFormat="1" applyFont="1" applyFill="1" applyBorder="1" applyAlignment="1">
      <alignment horizontal="center"/>
    </xf>
    <xf numFmtId="4" fontId="3" fillId="34" borderId="36" xfId="0" applyNumberFormat="1" applyFont="1" applyFill="1" applyBorder="1" applyAlignment="1">
      <alignment horizontal="center"/>
    </xf>
    <xf numFmtId="4" fontId="0" fillId="34" borderId="30" xfId="0" applyNumberFormat="1" applyFill="1" applyBorder="1" applyAlignment="1">
      <alignment wrapText="1"/>
    </xf>
    <xf numFmtId="4" fontId="3" fillId="34" borderId="53" xfId="0" applyNumberFormat="1" applyFont="1" applyFill="1" applyBorder="1" applyAlignment="1">
      <alignment/>
    </xf>
    <xf numFmtId="4" fontId="3" fillId="34" borderId="0" xfId="0" applyNumberFormat="1" applyFont="1" applyFill="1" applyBorder="1" applyAlignment="1">
      <alignment/>
    </xf>
    <xf numFmtId="4" fontId="3" fillId="34" borderId="0" xfId="0" applyNumberFormat="1" applyFont="1" applyFill="1" applyBorder="1" applyAlignment="1">
      <alignment horizontal="center"/>
    </xf>
    <xf numFmtId="2" fontId="0" fillId="34" borderId="59" xfId="0" applyNumberFormat="1" applyFill="1" applyBorder="1" applyAlignment="1">
      <alignment/>
    </xf>
    <xf numFmtId="4" fontId="0" fillId="34" borderId="31" xfId="0" applyNumberFormat="1" applyFill="1" applyBorder="1" applyAlignment="1">
      <alignment/>
    </xf>
    <xf numFmtId="4" fontId="0" fillId="34" borderId="59" xfId="0" applyNumberFormat="1" applyFill="1" applyBorder="1" applyAlignment="1">
      <alignment/>
    </xf>
    <xf numFmtId="4" fontId="0" fillId="34" borderId="0" xfId="0" applyNumberFormat="1" applyFill="1" applyBorder="1" applyAlignment="1">
      <alignment/>
    </xf>
    <xf numFmtId="0" fontId="0" fillId="34" borderId="28" xfId="0" applyFill="1" applyBorder="1" applyAlignment="1">
      <alignment vertical="top"/>
    </xf>
    <xf numFmtId="0" fontId="0" fillId="34" borderId="30" xfId="0" applyFill="1" applyBorder="1" applyAlignment="1">
      <alignment horizontal="justify" vertical="top" wrapText="1"/>
    </xf>
    <xf numFmtId="0" fontId="3" fillId="34" borderId="55" xfId="0" applyFont="1" applyFill="1" applyBorder="1" applyAlignment="1">
      <alignment horizontal="center" vertical="center" wrapText="1"/>
    </xf>
    <xf numFmtId="2" fontId="0" fillId="34" borderId="0" xfId="0" applyNumberFormat="1" applyFont="1" applyFill="1" applyAlignment="1">
      <alignment/>
    </xf>
    <xf numFmtId="4" fontId="0" fillId="34" borderId="57" xfId="0" applyNumberFormat="1" applyFont="1" applyFill="1" applyBorder="1" applyAlignment="1">
      <alignment/>
    </xf>
    <xf numFmtId="4" fontId="0" fillId="34" borderId="58" xfId="0" applyNumberFormat="1" applyFont="1" applyFill="1" applyBorder="1" applyAlignment="1">
      <alignment/>
    </xf>
    <xf numFmtId="4" fontId="0" fillId="34" borderId="34" xfId="0" applyNumberFormat="1" applyFont="1" applyFill="1" applyBorder="1" applyAlignment="1">
      <alignment horizontal="center"/>
    </xf>
    <xf numFmtId="3" fontId="0" fillId="34" borderId="28" xfId="0" applyNumberFormat="1" applyFont="1" applyFill="1" applyBorder="1" applyAlignment="1">
      <alignment/>
    </xf>
    <xf numFmtId="4" fontId="0" fillId="34" borderId="30" xfId="0" applyNumberFormat="1" applyFont="1" applyFill="1" applyBorder="1" applyAlignment="1">
      <alignment/>
    </xf>
    <xf numFmtId="3" fontId="0" fillId="34" borderId="60" xfId="0" applyNumberFormat="1" applyFont="1" applyFill="1" applyBorder="1" applyAlignment="1">
      <alignment/>
    </xf>
    <xf numFmtId="4" fontId="3" fillId="34" borderId="42" xfId="0" applyNumberFormat="1" applyFont="1" applyFill="1" applyBorder="1" applyAlignment="1">
      <alignment/>
    </xf>
    <xf numFmtId="4" fontId="3" fillId="34" borderId="61" xfId="0" applyNumberFormat="1" applyFont="1" applyFill="1" applyBorder="1" applyAlignment="1">
      <alignment horizontal="center"/>
    </xf>
    <xf numFmtId="4" fontId="0" fillId="34" borderId="0" xfId="0" applyNumberFormat="1" applyFont="1" applyFill="1" applyBorder="1" applyAlignment="1">
      <alignment/>
    </xf>
    <xf numFmtId="4" fontId="0" fillId="34" borderId="0" xfId="0" applyNumberFormat="1" applyFont="1" applyFill="1" applyBorder="1" applyAlignment="1">
      <alignment horizontal="center"/>
    </xf>
    <xf numFmtId="4" fontId="3" fillId="34" borderId="0" xfId="0" applyNumberFormat="1" applyFont="1" applyFill="1" applyAlignment="1">
      <alignment/>
    </xf>
    <xf numFmtId="4" fontId="3" fillId="34" borderId="0" xfId="0" applyNumberFormat="1" applyFont="1" applyFill="1" applyAlignment="1">
      <alignment horizontal="center"/>
    </xf>
    <xf numFmtId="0" fontId="0" fillId="34" borderId="57" xfId="0" applyFill="1" applyBorder="1" applyAlignment="1">
      <alignment vertical="top"/>
    </xf>
    <xf numFmtId="0" fontId="0" fillId="34" borderId="58" xfId="0" applyFill="1" applyBorder="1" applyAlignment="1">
      <alignment wrapText="1"/>
    </xf>
    <xf numFmtId="2" fontId="0" fillId="34" borderId="34" xfId="0" applyNumberFormat="1" applyFill="1" applyBorder="1" applyAlignment="1">
      <alignment horizontal="center"/>
    </xf>
    <xf numFmtId="0" fontId="0" fillId="34" borderId="54" xfId="0" applyFill="1" applyBorder="1" applyAlignment="1">
      <alignment/>
    </xf>
    <xf numFmtId="0" fontId="3" fillId="34" borderId="55" xfId="0" applyFont="1" applyFill="1" applyBorder="1" applyAlignment="1">
      <alignment wrapText="1"/>
    </xf>
    <xf numFmtId="2" fontId="3" fillId="34" borderId="56" xfId="0" applyNumberFormat="1" applyFont="1" applyFill="1" applyBorder="1" applyAlignment="1">
      <alignment horizontal="center"/>
    </xf>
    <xf numFmtId="0" fontId="0" fillId="0" borderId="0" xfId="0" applyFill="1" applyAlignment="1">
      <alignment horizontal="center"/>
    </xf>
    <xf numFmtId="2" fontId="0" fillId="0" borderId="0" xfId="0" applyNumberFormat="1" applyFill="1" applyAlignment="1">
      <alignment/>
    </xf>
    <xf numFmtId="189" fontId="54" fillId="0" borderId="21" xfId="0" applyNumberFormat="1" applyFont="1" applyFill="1" applyBorder="1" applyAlignment="1">
      <alignment horizontal="center" vertical="top" wrapText="1"/>
    </xf>
    <xf numFmtId="0" fontId="1" fillId="0" borderId="15" xfId="0" applyFont="1" applyFill="1" applyBorder="1" applyAlignment="1">
      <alignment vertical="top" wrapText="1"/>
    </xf>
    <xf numFmtId="4" fontId="3" fillId="0" borderId="22" xfId="0" applyNumberFormat="1" applyFont="1" applyFill="1" applyBorder="1" applyAlignment="1">
      <alignment horizontal="right" vertical="top" wrapText="1"/>
    </xf>
    <xf numFmtId="189" fontId="1" fillId="0" borderId="21" xfId="0" applyNumberFormat="1" applyFont="1" applyFill="1" applyBorder="1" applyAlignment="1">
      <alignment horizontal="center" vertical="top" wrapText="1"/>
    </xf>
    <xf numFmtId="4" fontId="3" fillId="0" borderId="22" xfId="0" applyNumberFormat="1" applyFont="1" applyFill="1" applyBorder="1" applyAlignment="1">
      <alignment vertical="top" wrapText="1"/>
    </xf>
    <xf numFmtId="189" fontId="56" fillId="0" borderId="21" xfId="0" applyNumberFormat="1" applyFont="1" applyFill="1" applyBorder="1" applyAlignment="1">
      <alignment horizontal="center" wrapText="1"/>
    </xf>
    <xf numFmtId="0" fontId="57" fillId="0" borderId="15" xfId="0" applyFont="1" applyFill="1" applyBorder="1" applyAlignment="1">
      <alignment wrapText="1"/>
    </xf>
    <xf numFmtId="4" fontId="3" fillId="0" borderId="22" xfId="0" applyNumberFormat="1" applyFont="1" applyFill="1" applyBorder="1" applyAlignment="1">
      <alignment horizontal="right" wrapText="1"/>
    </xf>
    <xf numFmtId="0" fontId="58" fillId="0" borderId="15" xfId="0" applyFont="1" applyFill="1" applyBorder="1" applyAlignment="1">
      <alignment wrapText="1"/>
    </xf>
    <xf numFmtId="0" fontId="58" fillId="0" borderId="15" xfId="0" applyFont="1" applyFill="1" applyBorder="1" applyAlignment="1">
      <alignment horizontal="left" wrapText="1"/>
    </xf>
    <xf numFmtId="189" fontId="60" fillId="0" borderId="21" xfId="0" applyNumberFormat="1" applyFont="1" applyFill="1" applyBorder="1" applyAlignment="1">
      <alignment horizontal="center" wrapText="1"/>
    </xf>
    <xf numFmtId="0" fontId="56" fillId="0" borderId="15" xfId="0" applyFont="1" applyFill="1" applyBorder="1" applyAlignment="1">
      <alignment wrapText="1"/>
    </xf>
    <xf numFmtId="4" fontId="3" fillId="0" borderId="22" xfId="0" applyNumberFormat="1" applyFont="1" applyFill="1" applyBorder="1" applyAlignment="1">
      <alignment wrapText="1"/>
    </xf>
    <xf numFmtId="0" fontId="1" fillId="0" borderId="62" xfId="0" applyFont="1" applyFill="1" applyBorder="1" applyAlignment="1">
      <alignment horizontal="center" wrapText="1"/>
    </xf>
    <xf numFmtId="0" fontId="1" fillId="0" borderId="63" xfId="0" applyFont="1" applyFill="1" applyBorder="1" applyAlignment="1">
      <alignment wrapText="1"/>
    </xf>
    <xf numFmtId="0" fontId="6" fillId="0" borderId="64" xfId="0" applyFont="1" applyFill="1" applyBorder="1" applyAlignment="1">
      <alignment horizontal="center" wrapText="1"/>
    </xf>
    <xf numFmtId="0" fontId="69" fillId="0" borderId="64" xfId="0" applyFont="1" applyFill="1" applyBorder="1" applyAlignment="1">
      <alignment horizontal="center" wrapText="1"/>
    </xf>
    <xf numFmtId="0" fontId="33" fillId="0" borderId="65" xfId="0" applyFont="1" applyFill="1" applyBorder="1" applyAlignment="1">
      <alignment horizontal="center" wrapText="1"/>
    </xf>
    <xf numFmtId="0" fontId="69" fillId="0" borderId="66" xfId="0" applyFont="1" applyFill="1" applyBorder="1" applyAlignment="1">
      <alignment wrapText="1"/>
    </xf>
    <xf numFmtId="0" fontId="70" fillId="0" borderId="67" xfId="0" applyFont="1" applyFill="1" applyBorder="1" applyAlignment="1">
      <alignment horizontal="center" wrapText="1"/>
    </xf>
    <xf numFmtId="0" fontId="69" fillId="0" borderId="67" xfId="0" applyFont="1" applyFill="1" applyBorder="1" applyAlignment="1">
      <alignment horizontal="center" wrapText="1"/>
    </xf>
    <xf numFmtId="0" fontId="71" fillId="0" borderId="65" xfId="0" applyFont="1" applyFill="1" applyBorder="1" applyAlignment="1">
      <alignment horizontal="center" wrapText="1"/>
    </xf>
    <xf numFmtId="0" fontId="71" fillId="0" borderId="68" xfId="0" applyFont="1" applyFill="1" applyBorder="1" applyAlignment="1">
      <alignment wrapText="1"/>
    </xf>
    <xf numFmtId="0" fontId="71" fillId="0" borderId="67" xfId="0" applyFont="1" applyFill="1" applyBorder="1" applyAlignment="1">
      <alignment horizontal="right" wrapText="1"/>
    </xf>
    <xf numFmtId="4" fontId="6" fillId="0" borderId="67" xfId="0" applyNumberFormat="1" applyFont="1" applyFill="1" applyBorder="1" applyAlignment="1">
      <alignment horizontal="right" wrapText="1"/>
    </xf>
    <xf numFmtId="0" fontId="72" fillId="0" borderId="67" xfId="0" applyFont="1" applyFill="1" applyBorder="1" applyAlignment="1">
      <alignment horizontal="left" wrapText="1"/>
    </xf>
    <xf numFmtId="0" fontId="72" fillId="0" borderId="67" xfId="0" applyFont="1" applyFill="1" applyBorder="1" applyAlignment="1">
      <alignment horizontal="right" wrapText="1"/>
    </xf>
    <xf numFmtId="4" fontId="50" fillId="0" borderId="67" xfId="0" applyNumberFormat="1" applyFont="1" applyFill="1" applyBorder="1" applyAlignment="1">
      <alignment horizontal="right" wrapText="1"/>
    </xf>
    <xf numFmtId="0" fontId="72" fillId="0" borderId="65" xfId="0" applyFont="1" applyFill="1" applyBorder="1" applyAlignment="1">
      <alignment horizontal="center" wrapText="1"/>
    </xf>
    <xf numFmtId="0" fontId="71" fillId="0" borderId="67" xfId="0" applyFont="1" applyFill="1" applyBorder="1" applyAlignment="1">
      <alignment horizontal="left" wrapText="1"/>
    </xf>
    <xf numFmtId="0" fontId="70" fillId="0" borderId="67" xfId="0" applyFont="1" applyFill="1" applyBorder="1" applyAlignment="1">
      <alignment horizontal="left" wrapText="1"/>
    </xf>
    <xf numFmtId="0" fontId="33" fillId="0" borderId="67" xfId="0" applyFont="1" applyFill="1" applyBorder="1" applyAlignment="1">
      <alignment wrapText="1"/>
    </xf>
    <xf numFmtId="0" fontId="72" fillId="0" borderId="67" xfId="0" applyFont="1" applyFill="1" applyBorder="1" applyAlignment="1">
      <alignment wrapText="1"/>
    </xf>
    <xf numFmtId="0" fontId="71" fillId="0" borderId="67" xfId="0" applyFont="1" applyFill="1" applyBorder="1" applyAlignment="1">
      <alignment wrapText="1"/>
    </xf>
    <xf numFmtId="0" fontId="70" fillId="0" borderId="67" xfId="0" applyFont="1" applyFill="1" applyBorder="1" applyAlignment="1">
      <alignment wrapText="1"/>
    </xf>
    <xf numFmtId="0" fontId="72" fillId="0" borderId="69" xfId="0" applyFont="1" applyFill="1" applyBorder="1" applyAlignment="1">
      <alignment horizontal="right" wrapText="1"/>
    </xf>
    <xf numFmtId="4" fontId="38" fillId="0" borderId="67" xfId="0" applyNumberFormat="1" applyFont="1" applyFill="1" applyBorder="1" applyAlignment="1">
      <alignment horizontal="right" wrapText="1"/>
    </xf>
    <xf numFmtId="0" fontId="57" fillId="0" borderId="65" xfId="0" applyFont="1" applyFill="1" applyBorder="1" applyAlignment="1">
      <alignment horizontal="center" wrapText="1"/>
    </xf>
    <xf numFmtId="0" fontId="73" fillId="0" borderId="67" xfId="0" applyFont="1" applyFill="1" applyBorder="1" applyAlignment="1">
      <alignment wrapText="1"/>
    </xf>
    <xf numFmtId="0" fontId="62" fillId="0" borderId="67" xfId="0" applyFont="1" applyFill="1" applyBorder="1" applyAlignment="1">
      <alignment wrapText="1"/>
    </xf>
    <xf numFmtId="0" fontId="1" fillId="0" borderId="0" xfId="0" applyFont="1" applyFill="1" applyAlignment="1">
      <alignment horizontal="center"/>
    </xf>
    <xf numFmtId="0" fontId="33" fillId="0" borderId="70" xfId="0" applyFont="1" applyFill="1" applyBorder="1" applyAlignment="1">
      <alignment horizontal="center"/>
    </xf>
    <xf numFmtId="0" fontId="33" fillId="0" borderId="30" xfId="0" applyFont="1" applyFill="1" applyBorder="1" applyAlignment="1">
      <alignment/>
    </xf>
    <xf numFmtId="43" fontId="33" fillId="0" borderId="30" xfId="42" applyFont="1" applyFill="1" applyBorder="1" applyAlignment="1">
      <alignment/>
    </xf>
    <xf numFmtId="43" fontId="0" fillId="0" borderId="30" xfId="0" applyNumberFormat="1" applyFill="1" applyBorder="1" applyAlignment="1">
      <alignment horizontal="center" vertical="center" wrapText="1"/>
    </xf>
    <xf numFmtId="9" fontId="0" fillId="0" borderId="30" xfId="0" applyNumberFormat="1" applyFill="1" applyBorder="1" applyAlignment="1">
      <alignment horizontal="center" vertical="center" wrapText="1"/>
    </xf>
    <xf numFmtId="43" fontId="0" fillId="0" borderId="30" xfId="0" applyNumberFormat="1" applyFill="1" applyBorder="1" applyAlignment="1">
      <alignment/>
    </xf>
    <xf numFmtId="43" fontId="3" fillId="0" borderId="71" xfId="0" applyNumberFormat="1" applyFont="1" applyFill="1" applyBorder="1" applyAlignment="1">
      <alignment horizontal="center"/>
    </xf>
    <xf numFmtId="0" fontId="34" fillId="0" borderId="51" xfId="0" applyFont="1" applyFill="1" applyBorder="1" applyAlignment="1">
      <alignment/>
    </xf>
    <xf numFmtId="3" fontId="34" fillId="0" borderId="15" xfId="0" applyNumberFormat="1" applyFont="1" applyFill="1" applyBorder="1" applyAlignment="1">
      <alignment/>
    </xf>
    <xf numFmtId="3" fontId="34" fillId="0" borderId="17" xfId="0" applyNumberFormat="1" applyFont="1" applyFill="1" applyBorder="1" applyAlignment="1">
      <alignment/>
    </xf>
    <xf numFmtId="2" fontId="45" fillId="0" borderId="0" xfId="0" applyNumberFormat="1" applyFont="1" applyFill="1" applyAlignment="1">
      <alignment horizontal="center"/>
    </xf>
    <xf numFmtId="4" fontId="34" fillId="0" borderId="18" xfId="0" applyNumberFormat="1" applyFont="1" applyFill="1" applyBorder="1" applyAlignment="1">
      <alignment horizontal="right"/>
    </xf>
    <xf numFmtId="3" fontId="34" fillId="0" borderId="18" xfId="0" applyNumberFormat="1" applyFont="1" applyFill="1" applyBorder="1" applyAlignment="1">
      <alignment/>
    </xf>
    <xf numFmtId="2" fontId="34" fillId="0" borderId="18" xfId="0" applyNumberFormat="1" applyFont="1" applyFill="1" applyBorder="1" applyAlignment="1">
      <alignment/>
    </xf>
    <xf numFmtId="2" fontId="34" fillId="0" borderId="39" xfId="0" applyNumberFormat="1" applyFont="1" applyFill="1" applyBorder="1" applyAlignment="1">
      <alignment/>
    </xf>
    <xf numFmtId="0" fontId="43" fillId="0" borderId="15" xfId="0" applyFont="1" applyFill="1" applyBorder="1" applyAlignment="1">
      <alignment horizontal="center"/>
    </xf>
    <xf numFmtId="174" fontId="34" fillId="0" borderId="15" xfId="0" applyNumberFormat="1" applyFont="1" applyFill="1" applyBorder="1" applyAlignment="1">
      <alignment/>
    </xf>
    <xf numFmtId="4" fontId="34" fillId="0" borderId="15" xfId="0" applyNumberFormat="1" applyFont="1" applyFill="1" applyBorder="1" applyAlignment="1">
      <alignment horizontal="right"/>
    </xf>
    <xf numFmtId="3" fontId="34" fillId="0" borderId="15" xfId="0" applyNumberFormat="1" applyFont="1" applyFill="1" applyBorder="1" applyAlignment="1">
      <alignment horizontal="right"/>
    </xf>
    <xf numFmtId="0" fontId="34" fillId="0" borderId="15" xfId="0" applyFont="1" applyFill="1" applyBorder="1" applyAlignment="1">
      <alignment horizontal="right"/>
    </xf>
    <xf numFmtId="1" fontId="34" fillId="0" borderId="15" xfId="0" applyNumberFormat="1" applyFont="1" applyFill="1" applyBorder="1" applyAlignment="1">
      <alignment/>
    </xf>
    <xf numFmtId="0" fontId="34" fillId="0" borderId="72" xfId="0" applyFont="1" applyFill="1" applyBorder="1" applyAlignment="1">
      <alignment/>
    </xf>
    <xf numFmtId="0" fontId="34" fillId="0" borderId="50" xfId="0" applyFont="1" applyFill="1" applyBorder="1" applyAlignment="1">
      <alignment/>
    </xf>
    <xf numFmtId="0" fontId="34" fillId="0" borderId="17" xfId="0" applyFont="1" applyFill="1" applyBorder="1" applyAlignment="1">
      <alignment horizontal="center"/>
    </xf>
    <xf numFmtId="174" fontId="34" fillId="0" borderId="17" xfId="0" applyNumberFormat="1" applyFont="1" applyFill="1" applyBorder="1" applyAlignment="1">
      <alignment/>
    </xf>
    <xf numFmtId="0" fontId="0" fillId="0" borderId="28" xfId="0" applyFill="1" applyBorder="1" applyAlignment="1">
      <alignment/>
    </xf>
    <xf numFmtId="0" fontId="0" fillId="0" borderId="30" xfId="0" applyFill="1" applyBorder="1" applyAlignment="1">
      <alignment/>
    </xf>
    <xf numFmtId="4" fontId="0" fillId="0" borderId="30" xfId="0" applyNumberFormat="1" applyFill="1" applyBorder="1" applyAlignment="1">
      <alignment horizontal="center"/>
    </xf>
    <xf numFmtId="4" fontId="0" fillId="0" borderId="30" xfId="0" applyNumberFormat="1" applyFill="1" applyBorder="1" applyAlignment="1">
      <alignment/>
    </xf>
    <xf numFmtId="4" fontId="0" fillId="0" borderId="36" xfId="0" applyNumberFormat="1" applyFill="1" applyBorder="1" applyAlignment="1">
      <alignment/>
    </xf>
    <xf numFmtId="4" fontId="0" fillId="0" borderId="0" xfId="0" applyNumberFormat="1" applyFill="1" applyAlignment="1">
      <alignment/>
    </xf>
    <xf numFmtId="2" fontId="0" fillId="0" borderId="0" xfId="42" applyNumberFormat="1" applyFill="1" applyAlignment="1">
      <alignment horizontal="center"/>
    </xf>
    <xf numFmtId="43" fontId="0" fillId="0" borderId="22" xfId="42" applyFont="1" applyFill="1" applyBorder="1" applyAlignment="1">
      <alignment horizontal="center"/>
    </xf>
    <xf numFmtId="0" fontId="3" fillId="0" borderId="0" xfId="0" applyFont="1" applyFill="1" applyAlignment="1">
      <alignment vertical="center" wrapText="1"/>
    </xf>
    <xf numFmtId="0" fontId="0" fillId="0" borderId="73" xfId="0" applyFill="1" applyBorder="1" applyAlignment="1">
      <alignment/>
    </xf>
    <xf numFmtId="0" fontId="0" fillId="0" borderId="74" xfId="0" applyFill="1" applyBorder="1" applyAlignment="1">
      <alignment horizontal="center"/>
    </xf>
    <xf numFmtId="0" fontId="50" fillId="0" borderId="23" xfId="0" applyFont="1" applyFill="1" applyBorder="1" applyAlignment="1">
      <alignment horizontal="center" vertical="center"/>
    </xf>
    <xf numFmtId="0" fontId="50" fillId="0" borderId="24" xfId="0" applyFont="1" applyFill="1" applyBorder="1" applyAlignment="1">
      <alignment horizontal="center" vertical="center"/>
    </xf>
    <xf numFmtId="2" fontId="50" fillId="0" borderId="24" xfId="42" applyNumberFormat="1" applyFont="1" applyFill="1" applyBorder="1" applyAlignment="1">
      <alignment horizontal="center" vertical="center"/>
    </xf>
    <xf numFmtId="0" fontId="50" fillId="0" borderId="75" xfId="0" applyFont="1" applyFill="1" applyBorder="1" applyAlignment="1">
      <alignment horizontal="center" vertical="center"/>
    </xf>
    <xf numFmtId="0" fontId="0" fillId="0" borderId="19" xfId="0" applyFill="1" applyBorder="1" applyAlignment="1">
      <alignment/>
    </xf>
    <xf numFmtId="0" fontId="0" fillId="0" borderId="76" xfId="0" applyFill="1" applyBorder="1" applyAlignment="1">
      <alignment/>
    </xf>
    <xf numFmtId="0" fontId="0" fillId="0" borderId="76" xfId="0" applyFill="1" applyBorder="1" applyAlignment="1">
      <alignment horizontal="center"/>
    </xf>
    <xf numFmtId="2" fontId="0" fillId="0" borderId="76" xfId="42" applyNumberFormat="1" applyFill="1" applyBorder="1" applyAlignment="1">
      <alignment horizontal="center"/>
    </xf>
    <xf numFmtId="0" fontId="0" fillId="0" borderId="77" xfId="0" applyFill="1" applyBorder="1" applyAlignment="1">
      <alignment/>
    </xf>
    <xf numFmtId="0" fontId="0" fillId="0" borderId="15" xfId="0" applyFill="1" applyBorder="1" applyAlignment="1">
      <alignment/>
    </xf>
    <xf numFmtId="0" fontId="0" fillId="0" borderId="15" xfId="0" applyFill="1" applyBorder="1" applyAlignment="1">
      <alignment horizontal="center"/>
    </xf>
    <xf numFmtId="2" fontId="0" fillId="0" borderId="15" xfId="42" applyNumberFormat="1" applyFill="1" applyBorder="1" applyAlignment="1">
      <alignment horizontal="center"/>
    </xf>
    <xf numFmtId="0" fontId="0" fillId="0" borderId="78" xfId="0" applyFill="1" applyBorder="1" applyAlignment="1">
      <alignment/>
    </xf>
    <xf numFmtId="177" fontId="0" fillId="0" borderId="15" xfId="0" applyNumberFormat="1" applyFill="1" applyBorder="1" applyAlignment="1">
      <alignment horizontal="center"/>
    </xf>
    <xf numFmtId="2" fontId="0" fillId="0" borderId="15" xfId="42" applyNumberFormat="1" applyFont="1" applyFill="1" applyBorder="1" applyAlignment="1">
      <alignment horizontal="center"/>
    </xf>
    <xf numFmtId="0" fontId="0" fillId="0" borderId="0" xfId="0" applyFill="1" applyBorder="1" applyAlignment="1">
      <alignment horizontal="center"/>
    </xf>
    <xf numFmtId="0" fontId="0" fillId="0" borderId="21" xfId="0" applyFill="1" applyBorder="1" applyAlignment="1">
      <alignment vertical="top"/>
    </xf>
    <xf numFmtId="0" fontId="0" fillId="0" borderId="15" xfId="0" applyFill="1" applyBorder="1" applyAlignment="1">
      <alignment horizontal="justify" vertical="top" wrapText="1"/>
    </xf>
    <xf numFmtId="43" fontId="0" fillId="0" borderId="15" xfId="0" applyNumberFormat="1" applyFill="1" applyBorder="1" applyAlignment="1">
      <alignment horizontal="center"/>
    </xf>
    <xf numFmtId="0" fontId="0" fillId="0" borderId="79" xfId="0" applyFill="1" applyBorder="1" applyAlignment="1">
      <alignment/>
    </xf>
    <xf numFmtId="0" fontId="0" fillId="0" borderId="35" xfId="0" applyFill="1" applyBorder="1" applyAlignment="1">
      <alignment/>
    </xf>
    <xf numFmtId="0" fontId="0" fillId="0" borderId="35" xfId="0" applyFill="1" applyBorder="1" applyAlignment="1">
      <alignment horizontal="center"/>
    </xf>
    <xf numFmtId="2" fontId="0" fillId="0" borderId="35" xfId="42" applyNumberFormat="1" applyFill="1" applyBorder="1" applyAlignment="1">
      <alignment horizontal="center"/>
    </xf>
    <xf numFmtId="0" fontId="0" fillId="0" borderId="80" xfId="0" applyFill="1" applyBorder="1" applyAlignment="1">
      <alignment/>
    </xf>
    <xf numFmtId="0" fontId="0" fillId="0" borderId="81" xfId="0" applyFill="1" applyBorder="1" applyAlignment="1">
      <alignment/>
    </xf>
    <xf numFmtId="0" fontId="0" fillId="0" borderId="63" xfId="0" applyFill="1" applyBorder="1" applyAlignment="1">
      <alignment/>
    </xf>
    <xf numFmtId="0" fontId="0" fillId="0" borderId="63" xfId="0" applyFill="1" applyBorder="1" applyAlignment="1">
      <alignment horizontal="center"/>
    </xf>
    <xf numFmtId="2" fontId="0" fillId="0" borderId="63" xfId="42" applyNumberFormat="1" applyFill="1" applyBorder="1" applyAlignment="1">
      <alignment horizontal="center"/>
    </xf>
    <xf numFmtId="0" fontId="0" fillId="0" borderId="82" xfId="0" applyFill="1" applyBorder="1" applyAlignment="1">
      <alignment/>
    </xf>
    <xf numFmtId="0" fontId="0" fillId="0" borderId="70" xfId="0" applyFill="1" applyBorder="1" applyAlignment="1">
      <alignment/>
    </xf>
    <xf numFmtId="0" fontId="47" fillId="0" borderId="0" xfId="0" applyFont="1" applyFill="1" applyBorder="1" applyAlignment="1">
      <alignment horizontal="right"/>
    </xf>
    <xf numFmtId="9" fontId="47" fillId="0" borderId="0" xfId="59" applyFont="1" applyFill="1" applyBorder="1" applyAlignment="1">
      <alignment horizontal="center"/>
    </xf>
    <xf numFmtId="2" fontId="0" fillId="0" borderId="0" xfId="42" applyNumberFormat="1" applyFill="1" applyBorder="1" applyAlignment="1">
      <alignment horizontal="center"/>
    </xf>
    <xf numFmtId="0" fontId="0" fillId="0" borderId="83" xfId="0" applyFill="1" applyBorder="1" applyAlignment="1">
      <alignment/>
    </xf>
    <xf numFmtId="0" fontId="0" fillId="0" borderId="14" xfId="0" applyFill="1" applyBorder="1" applyAlignment="1">
      <alignment/>
    </xf>
    <xf numFmtId="0" fontId="0" fillId="0" borderId="14" xfId="0" applyFill="1" applyBorder="1" applyAlignment="1">
      <alignment horizontal="center"/>
    </xf>
    <xf numFmtId="2" fontId="0" fillId="0" borderId="14" xfId="42" applyNumberFormat="1" applyFill="1" applyBorder="1" applyAlignment="1">
      <alignment horizontal="center"/>
    </xf>
    <xf numFmtId="0" fontId="0" fillId="0" borderId="0" xfId="0" applyFill="1" applyAlignment="1">
      <alignment horizontal="center" vertical="center" wrapText="1"/>
    </xf>
    <xf numFmtId="0" fontId="3" fillId="0" borderId="8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75" xfId="0" applyFont="1" applyFill="1" applyBorder="1" applyAlignment="1">
      <alignment horizontal="center" vertical="center"/>
    </xf>
    <xf numFmtId="0" fontId="0" fillId="0" borderId="0" xfId="0" applyFill="1" applyAlignment="1">
      <alignment horizontal="center" vertical="center"/>
    </xf>
    <xf numFmtId="0" fontId="0" fillId="0" borderId="30" xfId="0" applyFill="1" applyBorder="1" applyAlignment="1">
      <alignment horizontal="center" vertical="center" wrapText="1"/>
    </xf>
    <xf numFmtId="0" fontId="0" fillId="0" borderId="71" xfId="0" applyFill="1" applyBorder="1" applyAlignment="1">
      <alignment/>
    </xf>
    <xf numFmtId="0" fontId="0" fillId="39" borderId="0" xfId="0" applyFill="1" applyAlignment="1">
      <alignment/>
    </xf>
    <xf numFmtId="43" fontId="33" fillId="39" borderId="30" xfId="42" applyFont="1" applyFill="1" applyBorder="1" applyAlignment="1">
      <alignment/>
    </xf>
    <xf numFmtId="43" fontId="33" fillId="0" borderId="0" xfId="42" applyFont="1" applyFill="1" applyBorder="1" applyAlignment="1">
      <alignment/>
    </xf>
    <xf numFmtId="4" fontId="37" fillId="34" borderId="30" xfId="0" applyNumberFormat="1" applyFont="1" applyFill="1" applyBorder="1" applyAlignment="1">
      <alignment horizontal="center"/>
    </xf>
    <xf numFmtId="4" fontId="37" fillId="34" borderId="29" xfId="0" applyNumberFormat="1" applyFont="1" applyFill="1" applyBorder="1" applyAlignment="1">
      <alignment horizontal="center"/>
    </xf>
    <xf numFmtId="4" fontId="37" fillId="34" borderId="17" xfId="0" applyNumberFormat="1" applyFont="1" applyFill="1" applyBorder="1" applyAlignment="1">
      <alignment horizontal="center"/>
    </xf>
    <xf numFmtId="4" fontId="37" fillId="34" borderId="42" xfId="0" applyNumberFormat="1" applyFont="1" applyFill="1" applyBorder="1" applyAlignment="1">
      <alignment horizontal="center"/>
    </xf>
    <xf numFmtId="4" fontId="34" fillId="34" borderId="17" xfId="0" applyNumberFormat="1" applyFont="1" applyFill="1" applyBorder="1" applyAlignment="1">
      <alignment/>
    </xf>
    <xf numFmtId="4" fontId="34" fillId="0" borderId="17" xfId="0" applyNumberFormat="1" applyFont="1" applyFill="1" applyBorder="1" applyAlignment="1">
      <alignment/>
    </xf>
    <xf numFmtId="4" fontId="34" fillId="34" borderId="41" xfId="0" applyNumberFormat="1" applyFont="1" applyFill="1" applyBorder="1" applyAlignment="1">
      <alignment/>
    </xf>
    <xf numFmtId="4" fontId="34" fillId="39" borderId="17" xfId="0" applyNumberFormat="1" applyFont="1" applyFill="1" applyBorder="1" applyAlignment="1">
      <alignment/>
    </xf>
    <xf numFmtId="0" fontId="34" fillId="39" borderId="51" xfId="0" applyFont="1" applyFill="1" applyBorder="1" applyAlignment="1">
      <alignment/>
    </xf>
    <xf numFmtId="0" fontId="34" fillId="39" borderId="15" xfId="0" applyFont="1" applyFill="1" applyBorder="1" applyAlignment="1">
      <alignment/>
    </xf>
    <xf numFmtId="0" fontId="34" fillId="39" borderId="15" xfId="0" applyFont="1" applyFill="1" applyBorder="1" applyAlignment="1">
      <alignment horizontal="center"/>
    </xf>
    <xf numFmtId="3" fontId="34" fillId="39" borderId="15" xfId="0" applyNumberFormat="1" applyFont="1" applyFill="1" applyBorder="1" applyAlignment="1">
      <alignment/>
    </xf>
    <xf numFmtId="3" fontId="34" fillId="39" borderId="17" xfId="0" applyNumberFormat="1" applyFont="1" applyFill="1" applyBorder="1" applyAlignment="1">
      <alignment/>
    </xf>
    <xf numFmtId="4" fontId="34" fillId="39" borderId="18" xfId="0" applyNumberFormat="1" applyFont="1" applyFill="1" applyBorder="1" applyAlignment="1">
      <alignment horizontal="right"/>
    </xf>
    <xf numFmtId="3" fontId="34" fillId="39" borderId="18" xfId="0" applyNumberFormat="1" applyFont="1" applyFill="1" applyBorder="1" applyAlignment="1">
      <alignment/>
    </xf>
    <xf numFmtId="2" fontId="34" fillId="39" borderId="17" xfId="0" applyNumberFormat="1" applyFont="1" applyFill="1" applyBorder="1" applyAlignment="1">
      <alignment/>
    </xf>
    <xf numFmtId="2" fontId="34" fillId="39" borderId="15" xfId="0" applyNumberFormat="1" applyFont="1" applyFill="1" applyBorder="1" applyAlignment="1">
      <alignment/>
    </xf>
    <xf numFmtId="2" fontId="34" fillId="39" borderId="18" xfId="0" applyNumberFormat="1" applyFont="1" applyFill="1" applyBorder="1" applyAlignment="1">
      <alignment/>
    </xf>
    <xf numFmtId="0" fontId="34" fillId="39" borderId="18" xfId="0" applyFont="1" applyFill="1" applyBorder="1" applyAlignment="1">
      <alignment/>
    </xf>
    <xf numFmtId="2" fontId="34" fillId="39" borderId="39" xfId="0" applyNumberFormat="1" applyFont="1" applyFill="1" applyBorder="1" applyAlignment="1">
      <alignment/>
    </xf>
    <xf numFmtId="0" fontId="40" fillId="39" borderId="15" xfId="0" applyFont="1" applyFill="1" applyBorder="1" applyAlignment="1">
      <alignment horizontal="center"/>
    </xf>
    <xf numFmtId="0" fontId="43" fillId="39" borderId="15" xfId="0" applyFont="1" applyFill="1" applyBorder="1" applyAlignment="1">
      <alignment horizontal="center"/>
    </xf>
    <xf numFmtId="1" fontId="34" fillId="39" borderId="15" xfId="0" applyNumberFormat="1" applyFont="1" applyFill="1" applyBorder="1" applyAlignment="1">
      <alignment/>
    </xf>
    <xf numFmtId="0" fontId="34" fillId="39" borderId="48" xfId="0" applyFont="1" applyFill="1" applyBorder="1" applyAlignment="1">
      <alignment/>
    </xf>
    <xf numFmtId="0" fontId="34" fillId="39" borderId="32" xfId="0" applyFont="1" applyFill="1" applyBorder="1" applyAlignment="1">
      <alignment/>
    </xf>
    <xf numFmtId="0" fontId="34" fillId="39" borderId="32" xfId="0" applyFont="1" applyFill="1" applyBorder="1" applyAlignment="1">
      <alignment horizontal="center"/>
    </xf>
    <xf numFmtId="3" fontId="34" fillId="39" borderId="32" xfId="0" applyNumberFormat="1" applyFont="1" applyFill="1" applyBorder="1" applyAlignment="1">
      <alignment/>
    </xf>
    <xf numFmtId="4" fontId="34" fillId="39" borderId="15" xfId="0" applyNumberFormat="1" applyFont="1" applyFill="1" applyBorder="1" applyAlignment="1">
      <alignment horizontal="right"/>
    </xf>
    <xf numFmtId="174" fontId="34" fillId="39" borderId="15" xfId="0" applyNumberFormat="1" applyFont="1" applyFill="1" applyBorder="1" applyAlignment="1">
      <alignment/>
    </xf>
    <xf numFmtId="0" fontId="34" fillId="39" borderId="72" xfId="0" applyFont="1" applyFill="1" applyBorder="1" applyAlignment="1">
      <alignment/>
    </xf>
    <xf numFmtId="0" fontId="34" fillId="39" borderId="50" xfId="0" applyFont="1" applyFill="1" applyBorder="1" applyAlignment="1">
      <alignment/>
    </xf>
    <xf numFmtId="4" fontId="0" fillId="39" borderId="30" xfId="0" applyNumberFormat="1" applyFill="1" applyBorder="1" applyAlignment="1">
      <alignment/>
    </xf>
    <xf numFmtId="4" fontId="0" fillId="39" borderId="0" xfId="0" applyNumberFormat="1" applyFill="1" applyAlignment="1">
      <alignment/>
    </xf>
    <xf numFmtId="2" fontId="0" fillId="39" borderId="0" xfId="0" applyNumberFormat="1" applyFill="1" applyAlignment="1">
      <alignment/>
    </xf>
    <xf numFmtId="189" fontId="1" fillId="39" borderId="21" xfId="0" applyNumberFormat="1" applyFont="1" applyFill="1" applyBorder="1" applyAlignment="1">
      <alignment horizontal="center" vertical="top" wrapText="1"/>
    </xf>
    <xf numFmtId="0" fontId="1" fillId="39" borderId="15" xfId="0" applyFont="1" applyFill="1" applyBorder="1" applyAlignment="1">
      <alignment vertical="top" wrapText="1"/>
    </xf>
    <xf numFmtId="4" fontId="3" fillId="39" borderId="22" xfId="0" applyNumberFormat="1" applyFont="1" applyFill="1" applyBorder="1" applyAlignment="1">
      <alignment horizontal="right" vertical="top" wrapText="1"/>
    </xf>
    <xf numFmtId="189" fontId="54" fillId="39" borderId="21" xfId="0" applyNumberFormat="1" applyFont="1" applyFill="1" applyBorder="1" applyAlignment="1">
      <alignment horizontal="center" vertical="top" wrapText="1"/>
    </xf>
    <xf numFmtId="4" fontId="3" fillId="39" borderId="22" xfId="0" applyNumberFormat="1" applyFont="1" applyFill="1" applyBorder="1" applyAlignment="1">
      <alignment vertical="top" wrapText="1"/>
    </xf>
    <xf numFmtId="189" fontId="65" fillId="39" borderId="21" xfId="0" applyNumberFormat="1" applyFont="1" applyFill="1" applyBorder="1" applyAlignment="1">
      <alignment horizontal="center" wrapText="1"/>
    </xf>
    <xf numFmtId="0" fontId="58" fillId="39" borderId="15" xfId="0" applyFont="1" applyFill="1" applyBorder="1" applyAlignment="1">
      <alignment wrapText="1"/>
    </xf>
    <xf numFmtId="4" fontId="3" fillId="39" borderId="22" xfId="0" applyNumberFormat="1" applyFont="1" applyFill="1" applyBorder="1" applyAlignment="1">
      <alignment horizontal="right" wrapText="1"/>
    </xf>
    <xf numFmtId="189" fontId="56" fillId="39" borderId="21" xfId="0" applyNumberFormat="1" applyFont="1" applyFill="1" applyBorder="1" applyAlignment="1">
      <alignment horizontal="center" wrapText="1"/>
    </xf>
    <xf numFmtId="0" fontId="59" fillId="39" borderId="15" xfId="0" applyFont="1" applyFill="1" applyBorder="1" applyAlignment="1">
      <alignment wrapText="1"/>
    </xf>
    <xf numFmtId="189" fontId="60" fillId="39" borderId="21" xfId="0" applyNumberFormat="1" applyFont="1" applyFill="1" applyBorder="1" applyAlignment="1">
      <alignment horizontal="center" wrapText="1"/>
    </xf>
    <xf numFmtId="0" fontId="66" fillId="39" borderId="15" xfId="0" applyFont="1" applyFill="1" applyBorder="1" applyAlignment="1">
      <alignment wrapText="1"/>
    </xf>
    <xf numFmtId="0" fontId="0" fillId="39" borderId="15" xfId="0" applyFont="1" applyFill="1" applyBorder="1" applyAlignment="1">
      <alignment wrapText="1"/>
    </xf>
    <xf numFmtId="189" fontId="85" fillId="39" borderId="21" xfId="0" applyNumberFormat="1" applyFont="1" applyFill="1" applyBorder="1" applyAlignment="1">
      <alignment horizontal="center" wrapText="1"/>
    </xf>
    <xf numFmtId="189" fontId="3" fillId="39" borderId="21" xfId="0" applyNumberFormat="1" applyFont="1" applyFill="1" applyBorder="1" applyAlignment="1">
      <alignment horizontal="center" wrapText="1"/>
    </xf>
    <xf numFmtId="0" fontId="62" fillId="39" borderId="15" xfId="0" applyFont="1" applyFill="1" applyBorder="1" applyAlignment="1">
      <alignment wrapText="1"/>
    </xf>
    <xf numFmtId="189" fontId="0" fillId="39" borderId="21" xfId="0" applyNumberFormat="1" applyFont="1" applyFill="1" applyBorder="1" applyAlignment="1">
      <alignment horizontal="center" wrapText="1"/>
    </xf>
    <xf numFmtId="189" fontId="86" fillId="39" borderId="21" xfId="0" applyNumberFormat="1" applyFont="1" applyFill="1" applyBorder="1" applyAlignment="1">
      <alignment horizontal="center" wrapText="1"/>
    </xf>
    <xf numFmtId="0" fontId="34" fillId="39" borderId="15" xfId="0" applyFont="1" applyFill="1" applyBorder="1" applyAlignment="1">
      <alignment wrapText="1"/>
    </xf>
    <xf numFmtId="189" fontId="38" fillId="39" borderId="21" xfId="0" applyNumberFormat="1" applyFont="1" applyFill="1" applyBorder="1" applyAlignment="1">
      <alignment horizontal="center" wrapText="1"/>
    </xf>
    <xf numFmtId="0" fontId="24" fillId="39" borderId="15" xfId="0" applyFont="1" applyFill="1" applyBorder="1" applyAlignment="1">
      <alignment wrapText="1"/>
    </xf>
    <xf numFmtId="0" fontId="75" fillId="39" borderId="21" xfId="0" applyFont="1" applyFill="1" applyBorder="1" applyAlignment="1">
      <alignment horizontal="right" wrapText="1"/>
    </xf>
    <xf numFmtId="0" fontId="75" fillId="39" borderId="15" xfId="0" applyFont="1" applyFill="1" applyBorder="1" applyAlignment="1">
      <alignment wrapText="1"/>
    </xf>
    <xf numFmtId="0" fontId="65" fillId="39" borderId="21" xfId="0" applyFont="1" applyFill="1" applyBorder="1" applyAlignment="1">
      <alignment wrapText="1"/>
    </xf>
    <xf numFmtId="0" fontId="0" fillId="39" borderId="28" xfId="0" applyFill="1" applyBorder="1" applyAlignment="1">
      <alignment/>
    </xf>
    <xf numFmtId="0" fontId="0" fillId="39" borderId="30" xfId="0" applyFill="1" applyBorder="1" applyAlignment="1">
      <alignment/>
    </xf>
    <xf numFmtId="2" fontId="0" fillId="39" borderId="30" xfId="0" applyNumberFormat="1" applyFill="1" applyBorder="1" applyAlignment="1">
      <alignment horizontal="center"/>
    </xf>
    <xf numFmtId="4" fontId="0" fillId="39" borderId="36" xfId="0" applyNumberFormat="1" applyFill="1" applyBorder="1" applyAlignment="1">
      <alignment/>
    </xf>
    <xf numFmtId="43" fontId="0" fillId="0" borderId="0" xfId="0" applyNumberFormat="1" applyFill="1" applyBorder="1" applyAlignment="1">
      <alignment/>
    </xf>
    <xf numFmtId="0" fontId="33" fillId="0" borderId="0" xfId="0" applyFont="1" applyFill="1" applyBorder="1" applyAlignment="1">
      <alignment/>
    </xf>
    <xf numFmtId="0" fontId="0" fillId="0" borderId="0" xfId="0" applyFill="1" applyBorder="1" applyAlignment="1">
      <alignment horizontal="center" vertical="center" wrapText="1"/>
    </xf>
    <xf numFmtId="189" fontId="0" fillId="34" borderId="13" xfId="0" applyNumberFormat="1" applyFill="1" applyBorder="1" applyAlignment="1">
      <alignment horizontal="center"/>
    </xf>
    <xf numFmtId="0" fontId="0" fillId="34" borderId="13" xfId="0" applyFill="1" applyBorder="1" applyAlignment="1">
      <alignment/>
    </xf>
    <xf numFmtId="189" fontId="0" fillId="34" borderId="0" xfId="0" applyNumberFormat="1" applyFill="1" applyBorder="1" applyAlignment="1">
      <alignment horizontal="center"/>
    </xf>
    <xf numFmtId="2" fontId="34" fillId="0" borderId="0" xfId="0" applyNumberFormat="1" applyFont="1" applyBorder="1" applyAlignment="1">
      <alignment horizontal="left"/>
    </xf>
    <xf numFmtId="0" fontId="34" fillId="0" borderId="85" xfId="0" applyFont="1" applyBorder="1" applyAlignment="1">
      <alignment/>
    </xf>
    <xf numFmtId="0" fontId="34" fillId="34" borderId="39" xfId="0" applyFont="1" applyFill="1" applyBorder="1" applyAlignment="1">
      <alignment/>
    </xf>
    <xf numFmtId="0" fontId="37" fillId="37" borderId="85" xfId="0" applyFont="1" applyFill="1" applyBorder="1" applyAlignment="1">
      <alignment/>
    </xf>
    <xf numFmtId="2" fontId="37" fillId="37" borderId="39" xfId="0" applyNumberFormat="1" applyFont="1" applyFill="1" applyBorder="1" applyAlignment="1">
      <alignment/>
    </xf>
    <xf numFmtId="0" fontId="37" fillId="0" borderId="85" xfId="0" applyFont="1" applyFill="1" applyBorder="1" applyAlignment="1">
      <alignment/>
    </xf>
    <xf numFmtId="2" fontId="34" fillId="37" borderId="39" xfId="0" applyNumberFormat="1" applyFont="1" applyFill="1" applyBorder="1" applyAlignment="1">
      <alignment/>
    </xf>
    <xf numFmtId="0" fontId="34" fillId="0" borderId="85" xfId="0" applyFont="1" applyFill="1" applyBorder="1" applyAlignment="1">
      <alignment/>
    </xf>
    <xf numFmtId="0" fontId="0" fillId="0" borderId="85" xfId="0" applyBorder="1" applyAlignment="1">
      <alignment vertical="top"/>
    </xf>
    <xf numFmtId="0" fontId="34" fillId="0" borderId="85" xfId="0" applyFont="1" applyBorder="1" applyAlignment="1">
      <alignment vertical="top"/>
    </xf>
    <xf numFmtId="0" fontId="0" fillId="0" borderId="85" xfId="0" applyBorder="1" applyAlignment="1">
      <alignment/>
    </xf>
    <xf numFmtId="0" fontId="34" fillId="0" borderId="85" xfId="0" applyFont="1" applyBorder="1" applyAlignment="1">
      <alignment/>
    </xf>
    <xf numFmtId="2" fontId="37" fillId="37" borderId="85" xfId="0" applyNumberFormat="1" applyFont="1" applyFill="1" applyBorder="1" applyAlignment="1">
      <alignment/>
    </xf>
    <xf numFmtId="4" fontId="37" fillId="37" borderId="85" xfId="0" applyNumberFormat="1" applyFont="1" applyFill="1" applyBorder="1" applyAlignment="1">
      <alignment vertical="top"/>
    </xf>
    <xf numFmtId="4" fontId="37" fillId="37" borderId="39" xfId="0" applyNumberFormat="1" applyFont="1" applyFill="1" applyBorder="1" applyAlignment="1">
      <alignment/>
    </xf>
    <xf numFmtId="0" fontId="37" fillId="37" borderId="85" xfId="0" applyFont="1" applyFill="1" applyBorder="1" applyAlignment="1">
      <alignment vertical="top"/>
    </xf>
    <xf numFmtId="4" fontId="37" fillId="37" borderId="85" xfId="0" applyNumberFormat="1" applyFont="1" applyFill="1" applyBorder="1" applyAlignment="1">
      <alignment/>
    </xf>
    <xf numFmtId="0" fontId="34" fillId="0" borderId="53" xfId="0" applyFont="1" applyBorder="1" applyAlignment="1">
      <alignment/>
    </xf>
    <xf numFmtId="0" fontId="34" fillId="37" borderId="41" xfId="0" applyFont="1" applyFill="1" applyBorder="1" applyAlignment="1">
      <alignment horizontal="center"/>
    </xf>
    <xf numFmtId="0" fontId="34" fillId="37" borderId="41" xfId="0" applyFont="1" applyFill="1" applyBorder="1" applyAlignment="1">
      <alignment/>
    </xf>
    <xf numFmtId="0" fontId="37" fillId="37" borderId="41" xfId="0" applyFont="1" applyFill="1" applyBorder="1" applyAlignment="1">
      <alignment/>
    </xf>
    <xf numFmtId="2" fontId="37" fillId="37" borderId="41" xfId="0" applyNumberFormat="1" applyFont="1" applyFill="1" applyBorder="1" applyAlignment="1">
      <alignment/>
    </xf>
    <xf numFmtId="2" fontId="37" fillId="37" borderId="47" xfId="0" applyNumberFormat="1" applyFont="1" applyFill="1" applyBorder="1" applyAlignment="1">
      <alignment/>
    </xf>
    <xf numFmtId="0" fontId="0" fillId="34" borderId="39" xfId="0" applyFill="1" applyBorder="1" applyAlignment="1">
      <alignment/>
    </xf>
    <xf numFmtId="0" fontId="3" fillId="37" borderId="85" xfId="0" applyFont="1" applyFill="1" applyBorder="1" applyAlignment="1">
      <alignment/>
    </xf>
    <xf numFmtId="2" fontId="3" fillId="37" borderId="15" xfId="0" applyNumberFormat="1" applyFont="1" applyFill="1" applyBorder="1" applyAlignment="1">
      <alignment/>
    </xf>
    <xf numFmtId="0" fontId="43" fillId="0" borderId="15" xfId="0" applyFont="1" applyBorder="1" applyAlignment="1">
      <alignment horizontal="justify" vertical="top" wrapText="1"/>
    </xf>
    <xf numFmtId="9" fontId="37" fillId="37" borderId="15" xfId="0" applyNumberFormat="1" applyFont="1" applyFill="1" applyBorder="1" applyAlignment="1">
      <alignment horizontal="center"/>
    </xf>
    <xf numFmtId="0" fontId="43" fillId="0" borderId="15" xfId="0" applyFont="1" applyBorder="1" applyAlignment="1">
      <alignment vertical="top"/>
    </xf>
    <xf numFmtId="0" fontId="43" fillId="0" borderId="15" xfId="0" applyFont="1" applyBorder="1" applyAlignment="1">
      <alignment wrapText="1"/>
    </xf>
    <xf numFmtId="0" fontId="85" fillId="0" borderId="15" xfId="0" applyFont="1" applyFill="1" applyBorder="1" applyAlignment="1">
      <alignment/>
    </xf>
    <xf numFmtId="2" fontId="85" fillId="37" borderId="15" xfId="0" applyNumberFormat="1" applyFont="1" applyFill="1" applyBorder="1" applyAlignment="1">
      <alignment/>
    </xf>
    <xf numFmtId="4" fontId="85" fillId="37" borderId="15" xfId="0" applyNumberFormat="1" applyFont="1" applyFill="1" applyBorder="1" applyAlignment="1">
      <alignment vertical="top"/>
    </xf>
    <xf numFmtId="0" fontId="85" fillId="37" borderId="15" xfId="0" applyFont="1" applyFill="1" applyBorder="1" applyAlignment="1">
      <alignment vertical="top"/>
    </xf>
    <xf numFmtId="0" fontId="43" fillId="0" borderId="15" xfId="0" applyFont="1" applyBorder="1" applyAlignment="1">
      <alignment horizontal="left" vertical="top"/>
    </xf>
    <xf numFmtId="4" fontId="85" fillId="37" borderId="15" xfId="0" applyNumberFormat="1" applyFont="1" applyFill="1" applyBorder="1" applyAlignment="1">
      <alignment/>
    </xf>
    <xf numFmtId="0" fontId="43" fillId="0" borderId="41" xfId="0" applyFont="1" applyBorder="1" applyAlignment="1">
      <alignment horizontal="justify" vertical="top" wrapText="1"/>
    </xf>
    <xf numFmtId="0" fontId="0" fillId="0" borderId="16" xfId="0" applyBorder="1" applyAlignment="1">
      <alignment horizontal="center"/>
    </xf>
    <xf numFmtId="0" fontId="34" fillId="0" borderId="16" xfId="0" applyFont="1" applyBorder="1" applyAlignment="1">
      <alignment horizontal="center"/>
    </xf>
    <xf numFmtId="0" fontId="37" fillId="37" borderId="16" xfId="0" applyFont="1" applyFill="1" applyBorder="1" applyAlignment="1">
      <alignment horizontal="center"/>
    </xf>
    <xf numFmtId="0" fontId="37" fillId="0" borderId="16" xfId="0" applyFont="1" applyFill="1" applyBorder="1" applyAlignment="1">
      <alignment horizontal="center"/>
    </xf>
    <xf numFmtId="0" fontId="50" fillId="0" borderId="15" xfId="0" applyFont="1" applyFill="1" applyBorder="1" applyAlignment="1">
      <alignment wrapText="1"/>
    </xf>
    <xf numFmtId="0" fontId="50" fillId="0" borderId="15" xfId="0" applyFont="1" applyFill="1" applyBorder="1" applyAlignment="1">
      <alignment horizontal="center" wrapText="1"/>
    </xf>
    <xf numFmtId="0" fontId="0" fillId="0" borderId="15" xfId="0" applyFill="1" applyBorder="1" applyAlignment="1">
      <alignment/>
    </xf>
    <xf numFmtId="0" fontId="6" fillId="39" borderId="15" xfId="0" applyFont="1" applyFill="1" applyBorder="1" applyAlignment="1">
      <alignment wrapText="1"/>
    </xf>
    <xf numFmtId="0" fontId="34" fillId="0" borderId="15" xfId="0" applyFont="1" applyFill="1" applyBorder="1" applyAlignment="1">
      <alignment/>
    </xf>
    <xf numFmtId="0" fontId="34" fillId="0" borderId="16" xfId="0" applyFont="1" applyFill="1" applyBorder="1" applyAlignment="1">
      <alignment horizontal="center"/>
    </xf>
    <xf numFmtId="0" fontId="3" fillId="37" borderId="16" xfId="0" applyFont="1" applyFill="1" applyBorder="1" applyAlignment="1">
      <alignment/>
    </xf>
    <xf numFmtId="0" fontId="34" fillId="0" borderId="16" xfId="0" applyFont="1" applyBorder="1" applyAlignment="1">
      <alignment horizontal="left"/>
    </xf>
    <xf numFmtId="0" fontId="34" fillId="0" borderId="16" xfId="0" applyFont="1" applyBorder="1" applyAlignment="1">
      <alignment horizontal="center"/>
    </xf>
    <xf numFmtId="2" fontId="37" fillId="37" borderId="16" xfId="0" applyNumberFormat="1" applyFont="1" applyFill="1" applyBorder="1" applyAlignment="1">
      <alignment horizontal="center"/>
    </xf>
    <xf numFmtId="0" fontId="34" fillId="0" borderId="16" xfId="0" applyFont="1" applyBorder="1" applyAlignment="1">
      <alignment horizontal="center" vertical="top"/>
    </xf>
    <xf numFmtId="4" fontId="37" fillId="37" borderId="16" xfId="0" applyNumberFormat="1" applyFont="1" applyFill="1" applyBorder="1" applyAlignment="1">
      <alignment horizontal="center" vertical="top"/>
    </xf>
    <xf numFmtId="0" fontId="37" fillId="37" borderId="16" xfId="0" applyFont="1" applyFill="1" applyBorder="1" applyAlignment="1">
      <alignment horizontal="center" vertical="top"/>
    </xf>
    <xf numFmtId="4" fontId="37" fillId="37" borderId="16" xfId="0" applyNumberFormat="1" applyFont="1" applyFill="1" applyBorder="1" applyAlignment="1">
      <alignment horizontal="center"/>
    </xf>
    <xf numFmtId="0" fontId="34" fillId="37" borderId="46" xfId="0" applyFont="1" applyFill="1" applyBorder="1" applyAlignment="1">
      <alignment horizontal="center"/>
    </xf>
    <xf numFmtId="0" fontId="34" fillId="40" borderId="39" xfId="0" applyFont="1" applyFill="1" applyBorder="1" applyAlignment="1">
      <alignment/>
    </xf>
    <xf numFmtId="0" fontId="37" fillId="37" borderId="39" xfId="0" applyFont="1" applyFill="1" applyBorder="1" applyAlignment="1">
      <alignment/>
    </xf>
    <xf numFmtId="2" fontId="34" fillId="40" borderId="39" xfId="0" applyNumberFormat="1" applyFont="1" applyFill="1" applyBorder="1" applyAlignment="1">
      <alignment/>
    </xf>
    <xf numFmtId="0" fontId="50" fillId="0" borderId="85" xfId="0" applyFont="1" applyFill="1" applyBorder="1" applyAlignment="1">
      <alignment wrapText="1"/>
    </xf>
    <xf numFmtId="0" fontId="50" fillId="39" borderId="39" xfId="0" applyFont="1" applyFill="1" applyBorder="1" applyAlignment="1">
      <alignment horizontal="center" wrapText="1"/>
    </xf>
    <xf numFmtId="164" fontId="37" fillId="37" borderId="39" xfId="0" applyNumberFormat="1" applyFont="1" applyFill="1" applyBorder="1" applyAlignment="1">
      <alignment/>
    </xf>
    <xf numFmtId="165" fontId="34" fillId="40" borderId="39" xfId="0" applyNumberFormat="1" applyFont="1" applyFill="1" applyBorder="1" applyAlignment="1">
      <alignment/>
    </xf>
    <xf numFmtId="0" fontId="50" fillId="0" borderId="39" xfId="0" applyFont="1" applyFill="1" applyBorder="1" applyAlignment="1">
      <alignment horizontal="center" wrapText="1"/>
    </xf>
    <xf numFmtId="0" fontId="0" fillId="40" borderId="39" xfId="0" applyFill="1" applyBorder="1" applyAlignment="1">
      <alignment/>
    </xf>
    <xf numFmtId="2" fontId="3" fillId="37" borderId="39" xfId="0" applyNumberFormat="1" applyFont="1" applyFill="1" applyBorder="1" applyAlignment="1">
      <alignment/>
    </xf>
    <xf numFmtId="0" fontId="50" fillId="0" borderId="39" xfId="0" applyFont="1" applyFill="1" applyBorder="1" applyAlignment="1">
      <alignment wrapText="1"/>
    </xf>
    <xf numFmtId="2" fontId="34" fillId="40" borderId="39" xfId="0" applyNumberFormat="1" applyFont="1" applyFill="1" applyBorder="1" applyAlignment="1">
      <alignment/>
    </xf>
    <xf numFmtId="0" fontId="34" fillId="40" borderId="39" xfId="0" applyFont="1" applyFill="1" applyBorder="1" applyAlignment="1">
      <alignment/>
    </xf>
    <xf numFmtId="2" fontId="37" fillId="37" borderId="39" xfId="0" applyNumberFormat="1" applyFont="1" applyFill="1" applyBorder="1" applyAlignment="1">
      <alignment/>
    </xf>
    <xf numFmtId="0" fontId="34" fillId="0" borderId="85" xfId="0" applyFont="1" applyBorder="1" applyAlignment="1">
      <alignment wrapText="1"/>
    </xf>
    <xf numFmtId="0" fontId="0" fillId="40" borderId="39" xfId="0" applyFont="1" applyFill="1" applyBorder="1" applyAlignment="1">
      <alignment/>
    </xf>
    <xf numFmtId="0" fontId="37" fillId="37" borderId="39" xfId="0" applyFont="1" applyFill="1" applyBorder="1" applyAlignment="1">
      <alignment/>
    </xf>
    <xf numFmtId="164" fontId="34" fillId="40" borderId="39" xfId="0" applyNumberFormat="1" applyFont="1" applyFill="1" applyBorder="1" applyAlignment="1">
      <alignment/>
    </xf>
    <xf numFmtId="9" fontId="34" fillId="0" borderId="85" xfId="59" applyFont="1" applyBorder="1" applyAlignment="1">
      <alignment/>
    </xf>
    <xf numFmtId="0" fontId="40" fillId="0" borderId="85" xfId="0" applyNumberFormat="1" applyFont="1" applyBorder="1" applyAlignment="1" applyProtection="1">
      <alignment horizontal="justify" vertical="top" wrapText="1"/>
      <protection/>
    </xf>
    <xf numFmtId="0" fontId="40" fillId="0" borderId="85" xfId="0" applyNumberFormat="1" applyFont="1" applyBorder="1" applyAlignment="1">
      <alignment horizontal="justify" vertical="top" wrapText="1"/>
    </xf>
    <xf numFmtId="0" fontId="40" fillId="0" borderId="85" xfId="0" applyNumberFormat="1" applyFont="1" applyBorder="1" applyAlignment="1" applyProtection="1">
      <alignment horizontal="justify" vertical="top"/>
      <protection/>
    </xf>
    <xf numFmtId="0" fontId="40" fillId="0" borderId="85" xfId="0" applyFont="1" applyBorder="1" applyAlignment="1">
      <alignment horizontal="justify" vertical="top" wrapText="1"/>
    </xf>
    <xf numFmtId="0" fontId="40" fillId="0" borderId="85" xfId="0" applyFont="1" applyBorder="1" applyAlignment="1">
      <alignment vertical="top"/>
    </xf>
    <xf numFmtId="4" fontId="39" fillId="37" borderId="85" xfId="0" applyNumberFormat="1" applyFont="1" applyFill="1" applyBorder="1" applyAlignment="1">
      <alignment vertical="top"/>
    </xf>
    <xf numFmtId="0" fontId="39" fillId="37" borderId="85" xfId="0" applyNumberFormat="1" applyFont="1" applyFill="1" applyBorder="1" applyAlignment="1" applyProtection="1">
      <alignment horizontal="justify" vertical="top"/>
      <protection/>
    </xf>
    <xf numFmtId="4" fontId="39" fillId="37" borderId="85" xfId="0" applyNumberFormat="1" applyFont="1" applyFill="1" applyBorder="1" applyAlignment="1" applyProtection="1">
      <alignment horizontal="justify" vertical="top"/>
      <protection/>
    </xf>
    <xf numFmtId="2" fontId="40" fillId="0" borderId="85" xfId="0" applyNumberFormat="1" applyFont="1" applyBorder="1" applyAlignment="1">
      <alignment horizontal="justify" vertical="top"/>
    </xf>
    <xf numFmtId="2" fontId="40" fillId="0" borderId="85" xfId="0" applyNumberFormat="1" applyFont="1" applyBorder="1" applyAlignment="1">
      <alignment horizontal="justify" vertical="top" wrapText="1"/>
    </xf>
    <xf numFmtId="16" fontId="34" fillId="0" borderId="85" xfId="0" applyNumberFormat="1" applyFont="1" applyBorder="1" applyAlignment="1">
      <alignment/>
    </xf>
    <xf numFmtId="0" fontId="34" fillId="37" borderId="53" xfId="0" applyFont="1" applyFill="1" applyBorder="1" applyAlignment="1">
      <alignment/>
    </xf>
    <xf numFmtId="0" fontId="37" fillId="37" borderId="47" xfId="0" applyFont="1" applyFill="1" applyBorder="1" applyAlignment="1">
      <alignment/>
    </xf>
    <xf numFmtId="0" fontId="0" fillId="35" borderId="39" xfId="0" applyFill="1" applyBorder="1" applyAlignment="1">
      <alignment/>
    </xf>
    <xf numFmtId="2" fontId="34" fillId="35" borderId="39" xfId="0" applyNumberFormat="1" applyFont="1" applyFill="1" applyBorder="1" applyAlignment="1">
      <alignment/>
    </xf>
    <xf numFmtId="0" fontId="34" fillId="35" borderId="39" xfId="0" applyFont="1" applyFill="1" applyBorder="1" applyAlignment="1">
      <alignment/>
    </xf>
    <xf numFmtId="43" fontId="34" fillId="35" borderId="39" xfId="0" applyNumberFormat="1" applyFont="1" applyFill="1" applyBorder="1" applyAlignment="1">
      <alignment/>
    </xf>
    <xf numFmtId="43" fontId="37" fillId="37" borderId="39" xfId="0" applyNumberFormat="1" applyFont="1" applyFill="1" applyBorder="1" applyAlignment="1">
      <alignment/>
    </xf>
    <xf numFmtId="0" fontId="3" fillId="37" borderId="39" xfId="0" applyFont="1" applyFill="1" applyBorder="1" applyAlignment="1">
      <alignment/>
    </xf>
    <xf numFmtId="2" fontId="34" fillId="35" borderId="39" xfId="0" applyNumberFormat="1" applyFont="1" applyFill="1" applyBorder="1" applyAlignment="1">
      <alignment/>
    </xf>
    <xf numFmtId="0" fontId="37" fillId="37" borderId="53" xfId="0" applyFont="1" applyFill="1" applyBorder="1" applyAlignment="1">
      <alignment/>
    </xf>
    <xf numFmtId="0" fontId="33" fillId="0" borderId="83" xfId="0" applyFont="1" applyFill="1" applyBorder="1" applyAlignment="1">
      <alignment horizontal="center"/>
    </xf>
    <xf numFmtId="0" fontId="33" fillId="0" borderId="86" xfId="0" applyFont="1" applyFill="1" applyBorder="1" applyAlignment="1">
      <alignment/>
    </xf>
    <xf numFmtId="43" fontId="33" fillId="39" borderId="86" xfId="42" applyFont="1" applyFill="1" applyBorder="1" applyAlignment="1">
      <alignment/>
    </xf>
    <xf numFmtId="43" fontId="0" fillId="0" borderId="86" xfId="0" applyNumberFormat="1" applyFill="1" applyBorder="1" applyAlignment="1">
      <alignment horizontal="center" vertical="center" wrapText="1"/>
    </xf>
    <xf numFmtId="9" fontId="0" fillId="0" borderId="86" xfId="0" applyNumberFormat="1" applyFill="1" applyBorder="1" applyAlignment="1">
      <alignment horizontal="center" vertical="center" wrapText="1"/>
    </xf>
    <xf numFmtId="43" fontId="0" fillId="0" borderId="86" xfId="0" applyNumberFormat="1" applyFill="1" applyBorder="1" applyAlignment="1">
      <alignment/>
    </xf>
    <xf numFmtId="43" fontId="3" fillId="0" borderId="87" xfId="0" applyNumberFormat="1" applyFont="1" applyFill="1" applyBorder="1" applyAlignment="1">
      <alignment horizontal="center"/>
    </xf>
    <xf numFmtId="0" fontId="0" fillId="0" borderId="13" xfId="0" applyFill="1" applyBorder="1" applyAlignment="1">
      <alignment/>
    </xf>
    <xf numFmtId="0" fontId="33" fillId="0" borderId="13" xfId="0" applyFont="1" applyFill="1" applyBorder="1" applyAlignment="1">
      <alignment/>
    </xf>
    <xf numFmtId="0" fontId="0" fillId="0" borderId="13" xfId="0" applyFill="1" applyBorder="1" applyAlignment="1">
      <alignment horizontal="center" vertical="center" wrapText="1"/>
    </xf>
    <xf numFmtId="0" fontId="3" fillId="0" borderId="8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0" xfId="0" applyFont="1" applyFill="1" applyBorder="1" applyAlignment="1">
      <alignment horizontal="center" vertical="center" wrapText="1"/>
    </xf>
    <xf numFmtId="2" fontId="3" fillId="0" borderId="30" xfId="0" applyNumberFormat="1" applyFont="1" applyFill="1" applyBorder="1" applyAlignment="1">
      <alignment horizontal="center" wrapText="1"/>
    </xf>
    <xf numFmtId="0" fontId="3" fillId="0" borderId="89" xfId="0" applyFont="1" applyFill="1" applyBorder="1" applyAlignment="1">
      <alignment horizontal="center" vertical="center" wrapText="1"/>
    </xf>
    <xf numFmtId="0" fontId="0" fillId="0" borderId="88" xfId="0" applyFill="1" applyBorder="1" applyAlignment="1">
      <alignment horizontal="center"/>
    </xf>
    <xf numFmtId="0" fontId="0" fillId="0" borderId="30" xfId="0" applyFill="1" applyBorder="1" applyAlignment="1">
      <alignment horizontal="center"/>
    </xf>
    <xf numFmtId="43" fontId="0" fillId="0" borderId="30" xfId="42" applyFill="1" applyBorder="1" applyAlignment="1">
      <alignment/>
    </xf>
    <xf numFmtId="2" fontId="0" fillId="0" borderId="30" xfId="0" applyNumberFormat="1" applyFill="1" applyBorder="1" applyAlignment="1">
      <alignment/>
    </xf>
    <xf numFmtId="0" fontId="0" fillId="0" borderId="89" xfId="0" applyFill="1" applyBorder="1" applyAlignment="1">
      <alignment/>
    </xf>
    <xf numFmtId="0" fontId="0" fillId="0" borderId="30" xfId="0" applyFill="1" applyBorder="1" applyAlignment="1">
      <alignment/>
    </xf>
    <xf numFmtId="0" fontId="0" fillId="0" borderId="30" xfId="0" applyFill="1" applyBorder="1" applyAlignment="1">
      <alignment wrapText="1"/>
    </xf>
    <xf numFmtId="0" fontId="3" fillId="0" borderId="89" xfId="0" applyFont="1" applyFill="1" applyBorder="1" applyAlignment="1">
      <alignment horizontal="center"/>
    </xf>
    <xf numFmtId="0" fontId="3" fillId="0" borderId="30" xfId="0" applyFont="1" applyFill="1" applyBorder="1" applyAlignment="1">
      <alignment/>
    </xf>
    <xf numFmtId="0" fontId="0" fillId="0" borderId="30" xfId="0" applyFont="1" applyFill="1" applyBorder="1" applyAlignment="1">
      <alignment/>
    </xf>
    <xf numFmtId="0" fontId="0" fillId="0" borderId="30" xfId="0" applyFont="1" applyFill="1" applyBorder="1" applyAlignment="1">
      <alignment/>
    </xf>
    <xf numFmtId="0" fontId="3" fillId="0" borderId="30" xfId="0" applyFont="1" applyFill="1" applyBorder="1" applyAlignment="1">
      <alignment/>
    </xf>
    <xf numFmtId="0" fontId="0" fillId="0" borderId="89" xfId="0" applyFill="1" applyBorder="1" applyAlignment="1">
      <alignment wrapText="1"/>
    </xf>
    <xf numFmtId="0" fontId="48" fillId="0" borderId="0" xfId="0" applyFont="1" applyFill="1" applyAlignment="1">
      <alignment horizontal="center"/>
    </xf>
    <xf numFmtId="0" fontId="3" fillId="0" borderId="0" xfId="0" applyFont="1" applyFill="1" applyAlignment="1">
      <alignment/>
    </xf>
    <xf numFmtId="43" fontId="0" fillId="0" borderId="0" xfId="0" applyNumberFormat="1" applyFill="1" applyAlignment="1">
      <alignment/>
    </xf>
    <xf numFmtId="43" fontId="94" fillId="0" borderId="0" xfId="0" applyNumberFormat="1" applyFont="1" applyFill="1" applyAlignment="1">
      <alignment/>
    </xf>
    <xf numFmtId="43" fontId="3" fillId="0" borderId="0" xfId="0" applyNumberFormat="1" applyFont="1" applyFill="1" applyAlignment="1">
      <alignment/>
    </xf>
    <xf numFmtId="0" fontId="0" fillId="0" borderId="30" xfId="0" applyFont="1" applyFill="1" applyBorder="1" applyAlignment="1">
      <alignment wrapText="1"/>
    </xf>
    <xf numFmtId="43" fontId="0" fillId="0" borderId="30" xfId="42" applyFont="1" applyFill="1" applyBorder="1" applyAlignment="1">
      <alignment/>
    </xf>
    <xf numFmtId="43" fontId="0" fillId="0" borderId="89" xfId="42" applyFill="1" applyBorder="1" applyAlignment="1">
      <alignment/>
    </xf>
    <xf numFmtId="2" fontId="0" fillId="0" borderId="30" xfId="0" applyNumberFormat="1" applyFont="1" applyFill="1" applyBorder="1" applyAlignment="1">
      <alignment/>
    </xf>
    <xf numFmtId="0" fontId="0" fillId="0" borderId="30" xfId="0" applyFont="1" applyFill="1" applyBorder="1" applyAlignment="1">
      <alignment horizontal="center"/>
    </xf>
    <xf numFmtId="0" fontId="0" fillId="0" borderId="30" xfId="0" applyFont="1" applyFill="1" applyBorder="1" applyAlignment="1">
      <alignment horizontal="justify" vertical="top" wrapText="1"/>
    </xf>
    <xf numFmtId="0" fontId="0" fillId="0" borderId="90" xfId="0" applyFill="1" applyBorder="1" applyAlignment="1">
      <alignment horizontal="center"/>
    </xf>
    <xf numFmtId="0" fontId="0" fillId="0" borderId="86" xfId="0" applyFont="1" applyFill="1" applyBorder="1" applyAlignment="1">
      <alignment/>
    </xf>
    <xf numFmtId="0" fontId="0" fillId="0" borderId="86" xfId="0" applyFill="1" applyBorder="1" applyAlignment="1">
      <alignment horizontal="center"/>
    </xf>
    <xf numFmtId="4" fontId="0" fillId="0" borderId="86" xfId="0" applyNumberFormat="1" applyFill="1" applyBorder="1" applyAlignment="1">
      <alignment/>
    </xf>
    <xf numFmtId="0" fontId="0" fillId="0" borderId="91" xfId="0" applyFill="1" applyBorder="1" applyAlignment="1">
      <alignment/>
    </xf>
    <xf numFmtId="0" fontId="3" fillId="0" borderId="0" xfId="0" applyFont="1" applyFill="1" applyAlignment="1">
      <alignment horizontal="center" vertical="top"/>
    </xf>
    <xf numFmtId="0" fontId="49" fillId="0" borderId="0" xfId="0" applyFont="1" applyFill="1" applyAlignment="1">
      <alignment horizontal="justify" vertical="top" wrapText="1"/>
    </xf>
    <xf numFmtId="0" fontId="0" fillId="41" borderId="88" xfId="0" applyFill="1" applyBorder="1" applyAlignment="1">
      <alignment horizontal="center"/>
    </xf>
    <xf numFmtId="0" fontId="0" fillId="41" borderId="30" xfId="0" applyFill="1" applyBorder="1" applyAlignment="1">
      <alignment/>
    </xf>
    <xf numFmtId="0" fontId="0" fillId="41" borderId="30" xfId="0" applyFill="1" applyBorder="1" applyAlignment="1">
      <alignment horizontal="center"/>
    </xf>
    <xf numFmtId="43" fontId="0" fillId="41" borderId="30" xfId="42" applyFont="1" applyFill="1" applyBorder="1" applyAlignment="1">
      <alignment/>
    </xf>
    <xf numFmtId="2" fontId="0" fillId="41" borderId="30" xfId="0" applyNumberFormat="1" applyFill="1" applyBorder="1" applyAlignment="1">
      <alignment/>
    </xf>
    <xf numFmtId="0" fontId="3" fillId="41" borderId="89" xfId="0" applyFont="1" applyFill="1" applyBorder="1" applyAlignment="1">
      <alignment horizontal="center"/>
    </xf>
    <xf numFmtId="43" fontId="0" fillId="41" borderId="30" xfId="42" applyFill="1" applyBorder="1" applyAlignment="1">
      <alignment/>
    </xf>
    <xf numFmtId="0" fontId="0" fillId="41" borderId="30" xfId="0" applyFill="1" applyBorder="1" applyAlignment="1">
      <alignment/>
    </xf>
    <xf numFmtId="0" fontId="6" fillId="41" borderId="30" xfId="0" applyFont="1" applyFill="1" applyBorder="1" applyAlignment="1">
      <alignment horizontal="center" wrapText="1"/>
    </xf>
    <xf numFmtId="0" fontId="0" fillId="42" borderId="88" xfId="0" applyFill="1" applyBorder="1" applyAlignment="1">
      <alignment horizontal="center"/>
    </xf>
    <xf numFmtId="0" fontId="0" fillId="42" borderId="30" xfId="0" applyFill="1" applyBorder="1" applyAlignment="1">
      <alignment/>
    </xf>
    <xf numFmtId="0" fontId="0" fillId="42" borderId="30" xfId="0" applyFill="1" applyBorder="1" applyAlignment="1">
      <alignment horizontal="center"/>
    </xf>
    <xf numFmtId="43" fontId="0" fillId="42" borderId="30" xfId="42" applyFill="1" applyBorder="1" applyAlignment="1">
      <alignment/>
    </xf>
    <xf numFmtId="2" fontId="0" fillId="42" borderId="30" xfId="0" applyNumberFormat="1" applyFill="1" applyBorder="1" applyAlignment="1">
      <alignment/>
    </xf>
    <xf numFmtId="0" fontId="6" fillId="42" borderId="30" xfId="0" applyFont="1" applyFill="1" applyBorder="1" applyAlignment="1">
      <alignment horizontal="center" wrapText="1"/>
    </xf>
    <xf numFmtId="0" fontId="3" fillId="42" borderId="89" xfId="0" applyFont="1" applyFill="1" applyBorder="1" applyAlignment="1">
      <alignment horizontal="center"/>
    </xf>
    <xf numFmtId="0" fontId="0" fillId="41" borderId="30" xfId="0" applyFill="1" applyBorder="1" applyAlignment="1">
      <alignment wrapText="1"/>
    </xf>
    <xf numFmtId="0" fontId="0" fillId="42" borderId="30" xfId="0" applyFill="1" applyBorder="1" applyAlignment="1">
      <alignment/>
    </xf>
    <xf numFmtId="0" fontId="0" fillId="42" borderId="89" xfId="0" applyFill="1" applyBorder="1" applyAlignment="1">
      <alignment/>
    </xf>
    <xf numFmtId="0" fontId="0" fillId="41" borderId="30" xfId="0" applyFill="1" applyBorder="1" applyAlignment="1">
      <alignment horizontal="center" wrapText="1"/>
    </xf>
    <xf numFmtId="0" fontId="34" fillId="41" borderId="88" xfId="0" applyFont="1" applyFill="1" applyBorder="1" applyAlignment="1">
      <alignment horizontal="center"/>
    </xf>
    <xf numFmtId="0" fontId="34" fillId="41" borderId="30" xfId="0" applyFont="1" applyFill="1" applyBorder="1" applyAlignment="1">
      <alignment/>
    </xf>
    <xf numFmtId="0" fontId="0" fillId="41" borderId="30" xfId="0" applyFont="1" applyFill="1" applyBorder="1" applyAlignment="1">
      <alignment horizontal="center"/>
    </xf>
    <xf numFmtId="43" fontId="0" fillId="41" borderId="30" xfId="42" applyFont="1" applyFill="1" applyBorder="1" applyAlignment="1">
      <alignment/>
    </xf>
    <xf numFmtId="2" fontId="0" fillId="41" borderId="30" xfId="0" applyNumberFormat="1" applyFont="1" applyFill="1" applyBorder="1" applyAlignment="1">
      <alignment/>
    </xf>
    <xf numFmtId="0" fontId="0" fillId="41" borderId="30" xfId="0" applyFont="1" applyFill="1" applyBorder="1" applyAlignment="1">
      <alignment/>
    </xf>
    <xf numFmtId="0" fontId="34" fillId="42" borderId="88" xfId="0" applyFont="1" applyFill="1" applyBorder="1" applyAlignment="1">
      <alignment horizontal="center"/>
    </xf>
    <xf numFmtId="0" fontId="34" fillId="42" borderId="30" xfId="0" applyFont="1" applyFill="1" applyBorder="1" applyAlignment="1">
      <alignment/>
    </xf>
    <xf numFmtId="0" fontId="0" fillId="42" borderId="30" xfId="0" applyFont="1" applyFill="1" applyBorder="1" applyAlignment="1">
      <alignment horizontal="center"/>
    </xf>
    <xf numFmtId="43" fontId="0" fillId="42" borderId="30" xfId="42" applyFont="1" applyFill="1" applyBorder="1" applyAlignment="1">
      <alignment/>
    </xf>
    <xf numFmtId="2" fontId="0" fillId="42" borderId="30" xfId="0" applyNumberFormat="1" applyFont="1" applyFill="1" applyBorder="1" applyAlignment="1">
      <alignment/>
    </xf>
    <xf numFmtId="0" fontId="0" fillId="42" borderId="30" xfId="0" applyFont="1" applyFill="1" applyBorder="1" applyAlignment="1">
      <alignment/>
    </xf>
    <xf numFmtId="0" fontId="0" fillId="41" borderId="89" xfId="0" applyFont="1" applyFill="1" applyBorder="1" applyAlignment="1">
      <alignment/>
    </xf>
    <xf numFmtId="0" fontId="0" fillId="41" borderId="30" xfId="0" applyFont="1" applyFill="1" applyBorder="1" applyAlignment="1">
      <alignment wrapText="1"/>
    </xf>
    <xf numFmtId="0" fontId="0" fillId="41" borderId="89" xfId="0" applyFill="1" applyBorder="1" applyAlignment="1">
      <alignment/>
    </xf>
    <xf numFmtId="0" fontId="0" fillId="41" borderId="30" xfId="0" applyFont="1" applyFill="1" applyBorder="1" applyAlignment="1">
      <alignment/>
    </xf>
    <xf numFmtId="0" fontId="0" fillId="41" borderId="30" xfId="0" applyFont="1" applyFill="1" applyBorder="1" applyAlignment="1">
      <alignment vertical="top" wrapText="1"/>
    </xf>
    <xf numFmtId="0" fontId="0" fillId="0" borderId="31" xfId="0" applyFill="1" applyBorder="1" applyAlignment="1">
      <alignment horizontal="center"/>
    </xf>
    <xf numFmtId="43" fontId="0" fillId="0" borderId="0" xfId="42" applyFill="1" applyBorder="1" applyAlignment="1">
      <alignment/>
    </xf>
    <xf numFmtId="2" fontId="0" fillId="0" borderId="0" xfId="0" applyNumberFormat="1" applyFill="1" applyBorder="1" applyAlignment="1">
      <alignment/>
    </xf>
    <xf numFmtId="2" fontId="0" fillId="41" borderId="31" xfId="0" applyNumberFormat="1" applyFill="1" applyBorder="1" applyAlignment="1">
      <alignment/>
    </xf>
    <xf numFmtId="0" fontId="0" fillId="41" borderId="30" xfId="0" applyFill="1" applyBorder="1" applyAlignment="1">
      <alignment horizontal="left"/>
    </xf>
    <xf numFmtId="0" fontId="0" fillId="39" borderId="88" xfId="0" applyFill="1" applyBorder="1" applyAlignment="1">
      <alignment horizontal="center"/>
    </xf>
    <xf numFmtId="0" fontId="0" fillId="39" borderId="30" xfId="0" applyFill="1" applyBorder="1" applyAlignment="1">
      <alignment/>
    </xf>
    <xf numFmtId="0" fontId="0" fillId="39" borderId="30" xfId="0" applyFill="1" applyBorder="1" applyAlignment="1">
      <alignment horizontal="center"/>
    </xf>
    <xf numFmtId="43" fontId="0" fillId="39" borderId="30" xfId="42" applyFill="1" applyBorder="1" applyAlignment="1">
      <alignment/>
    </xf>
    <xf numFmtId="2" fontId="0" fillId="39" borderId="30" xfId="0" applyNumberFormat="1" applyFill="1" applyBorder="1" applyAlignment="1">
      <alignment/>
    </xf>
    <xf numFmtId="0" fontId="0" fillId="39" borderId="89" xfId="0" applyFill="1" applyBorder="1" applyAlignment="1">
      <alignment/>
    </xf>
    <xf numFmtId="43" fontId="0" fillId="39" borderId="30" xfId="42" applyFont="1" applyFill="1" applyBorder="1" applyAlignment="1">
      <alignment/>
    </xf>
    <xf numFmtId="0" fontId="0" fillId="39" borderId="89" xfId="0" applyFill="1" applyBorder="1" applyAlignment="1">
      <alignment wrapText="1"/>
    </xf>
    <xf numFmtId="0" fontId="0" fillId="39" borderId="89" xfId="0" applyFill="1" applyBorder="1" applyAlignment="1">
      <alignment/>
    </xf>
    <xf numFmtId="0" fontId="0" fillId="41" borderId="21" xfId="0" applyFill="1" applyBorder="1" applyAlignment="1">
      <alignment horizontal="center"/>
    </xf>
    <xf numFmtId="0" fontId="0" fillId="41" borderId="15" xfId="0" applyFont="1" applyFill="1" applyBorder="1" applyAlignment="1">
      <alignment/>
    </xf>
    <xf numFmtId="0" fontId="0" fillId="41" borderId="15" xfId="0" applyFill="1" applyBorder="1" applyAlignment="1">
      <alignment horizontal="center"/>
    </xf>
    <xf numFmtId="43" fontId="0" fillId="41" borderId="15" xfId="42" applyFill="1" applyBorder="1" applyAlignment="1">
      <alignment/>
    </xf>
    <xf numFmtId="2" fontId="0" fillId="41" borderId="15" xfId="0" applyNumberFormat="1" applyFill="1" applyBorder="1" applyAlignment="1">
      <alignment/>
    </xf>
    <xf numFmtId="0" fontId="0" fillId="41" borderId="22" xfId="0" applyFill="1" applyBorder="1" applyAlignment="1">
      <alignment/>
    </xf>
    <xf numFmtId="0" fontId="0" fillId="39" borderId="30" xfId="0" applyFont="1" applyFill="1" applyBorder="1" applyAlignment="1">
      <alignment/>
    </xf>
    <xf numFmtId="0" fontId="3" fillId="39" borderId="30" xfId="0" applyFont="1" applyFill="1" applyBorder="1" applyAlignment="1">
      <alignment wrapText="1"/>
    </xf>
    <xf numFmtId="0" fontId="3" fillId="39" borderId="89" xfId="0" applyFont="1" applyFill="1" applyBorder="1" applyAlignment="1">
      <alignment horizontal="center"/>
    </xf>
    <xf numFmtId="0" fontId="0" fillId="0" borderId="0" xfId="0" applyFont="1" applyFill="1" applyAlignment="1">
      <alignment/>
    </xf>
    <xf numFmtId="0" fontId="0" fillId="39" borderId="30" xfId="0" applyFont="1" applyFill="1" applyBorder="1" applyAlignment="1">
      <alignment/>
    </xf>
    <xf numFmtId="0" fontId="0" fillId="39" borderId="30" xfId="0" applyFont="1" applyFill="1" applyBorder="1" applyAlignment="1">
      <alignment wrapText="1"/>
    </xf>
    <xf numFmtId="0" fontId="0" fillId="39" borderId="0" xfId="0" applyFill="1" applyAlignment="1">
      <alignment horizontal="center"/>
    </xf>
    <xf numFmtId="9" fontId="3" fillId="39" borderId="69" xfId="0" applyNumberFormat="1" applyFont="1" applyFill="1" applyBorder="1" applyAlignment="1">
      <alignment/>
    </xf>
    <xf numFmtId="0" fontId="3" fillId="39" borderId="0" xfId="0" applyFont="1" applyFill="1" applyAlignment="1">
      <alignment/>
    </xf>
    <xf numFmtId="0" fontId="7" fillId="39" borderId="0" xfId="0" applyFont="1" applyFill="1" applyAlignment="1">
      <alignment horizontal="center"/>
    </xf>
    <xf numFmtId="0" fontId="7" fillId="39" borderId="0" xfId="0" applyFont="1" applyFill="1" applyAlignment="1">
      <alignment/>
    </xf>
    <xf numFmtId="0" fontId="0" fillId="39" borderId="0" xfId="0" applyFont="1" applyFill="1" applyAlignment="1">
      <alignment/>
    </xf>
    <xf numFmtId="171" fontId="37" fillId="39" borderId="69" xfId="0" applyNumberFormat="1" applyFont="1" applyFill="1" applyBorder="1" applyAlignment="1">
      <alignment/>
    </xf>
    <xf numFmtId="0" fontId="0" fillId="39" borderId="48" xfId="0" applyFill="1" applyBorder="1" applyAlignment="1">
      <alignment/>
    </xf>
    <xf numFmtId="49" fontId="0" fillId="39" borderId="32" xfId="0" applyNumberFormat="1" applyFill="1" applyBorder="1" applyAlignment="1">
      <alignment/>
    </xf>
    <xf numFmtId="0" fontId="0" fillId="39" borderId="92" xfId="0" applyFill="1" applyBorder="1" applyAlignment="1">
      <alignment horizontal="center"/>
    </xf>
    <xf numFmtId="0" fontId="34" fillId="39" borderId="53" xfId="0" applyFont="1" applyFill="1" applyBorder="1" applyAlignment="1">
      <alignment horizontal="center" vertical="center" wrapText="1"/>
    </xf>
    <xf numFmtId="49" fontId="34" fillId="39" borderId="41" xfId="0" applyNumberFormat="1" applyFont="1" applyFill="1" applyBorder="1" applyAlignment="1">
      <alignment horizontal="center" vertical="center" wrapText="1"/>
    </xf>
    <xf numFmtId="0" fontId="34" fillId="39" borderId="46" xfId="0" applyFont="1" applyFill="1" applyBorder="1" applyAlignment="1">
      <alignment horizontal="center" vertical="center" wrapText="1"/>
    </xf>
    <xf numFmtId="0" fontId="0" fillId="39" borderId="41" xfId="0" applyFill="1" applyBorder="1" applyAlignment="1">
      <alignment horizontal="center" vertical="center"/>
    </xf>
    <xf numFmtId="0" fontId="34" fillId="39" borderId="41" xfId="0" applyFont="1" applyFill="1" applyBorder="1" applyAlignment="1">
      <alignment horizontal="center" vertical="center"/>
    </xf>
    <xf numFmtId="0" fontId="34" fillId="39" borderId="47" xfId="0" applyFont="1" applyFill="1" applyBorder="1" applyAlignment="1">
      <alignment horizontal="center" vertical="center" wrapText="1"/>
    </xf>
    <xf numFmtId="2" fontId="34" fillId="39" borderId="41" xfId="0" applyNumberFormat="1" applyFont="1" applyFill="1" applyBorder="1" applyAlignment="1">
      <alignment horizontal="center" vertical="center"/>
    </xf>
    <xf numFmtId="0" fontId="34" fillId="39" borderId="41" xfId="0" applyFont="1" applyFill="1" applyBorder="1" applyAlignment="1">
      <alignment horizontal="center" vertical="center" wrapText="1"/>
    </xf>
    <xf numFmtId="2" fontId="34" fillId="39" borderId="41" xfId="0" applyNumberFormat="1" applyFont="1" applyFill="1" applyBorder="1" applyAlignment="1">
      <alignment horizontal="center" vertical="center" wrapText="1"/>
    </xf>
    <xf numFmtId="0" fontId="0" fillId="39" borderId="93" xfId="0" applyFill="1" applyBorder="1" applyAlignment="1">
      <alignment/>
    </xf>
    <xf numFmtId="0" fontId="0" fillId="39" borderId="38" xfId="0" applyFill="1" applyBorder="1" applyAlignment="1">
      <alignment/>
    </xf>
    <xf numFmtId="0" fontId="3" fillId="39" borderId="17" xfId="0" applyFont="1" applyFill="1" applyBorder="1" applyAlignment="1">
      <alignment horizontal="center"/>
    </xf>
    <xf numFmtId="0" fontId="3" fillId="39" borderId="17" xfId="0" applyFont="1" applyFill="1" applyBorder="1" applyAlignment="1">
      <alignment/>
    </xf>
    <xf numFmtId="0" fontId="3" fillId="39" borderId="37" xfId="0" applyFont="1" applyFill="1" applyBorder="1" applyAlignment="1">
      <alignment/>
    </xf>
    <xf numFmtId="0" fontId="3" fillId="39" borderId="38" xfId="0" applyFont="1" applyFill="1" applyBorder="1" applyAlignment="1">
      <alignment/>
    </xf>
    <xf numFmtId="0" fontId="0" fillId="39" borderId="17" xfId="0" applyFill="1" applyBorder="1" applyAlignment="1">
      <alignment/>
    </xf>
    <xf numFmtId="2" fontId="0" fillId="39" borderId="17" xfId="0" applyNumberFormat="1" applyFill="1" applyBorder="1" applyAlignment="1">
      <alignment/>
    </xf>
    <xf numFmtId="0" fontId="0" fillId="39" borderId="37" xfId="0" applyFill="1" applyBorder="1" applyAlignment="1">
      <alignment/>
    </xf>
    <xf numFmtId="0" fontId="34" fillId="39" borderId="85" xfId="0" applyFont="1" applyFill="1" applyBorder="1" applyAlignment="1">
      <alignment/>
    </xf>
    <xf numFmtId="0" fontId="43" fillId="39" borderId="15" xfId="0" applyFont="1" applyFill="1" applyBorder="1" applyAlignment="1">
      <alignment/>
    </xf>
    <xf numFmtId="0" fontId="34" fillId="39" borderId="16" xfId="0" applyFont="1" applyFill="1" applyBorder="1" applyAlignment="1">
      <alignment horizontal="center"/>
    </xf>
    <xf numFmtId="0" fontId="34" fillId="39" borderId="39" xfId="0" applyFont="1" applyFill="1" applyBorder="1" applyAlignment="1">
      <alignment/>
    </xf>
    <xf numFmtId="43" fontId="34" fillId="39" borderId="15" xfId="0" applyNumberFormat="1" applyFont="1" applyFill="1" applyBorder="1" applyAlignment="1">
      <alignment/>
    </xf>
    <xf numFmtId="43" fontId="34" fillId="39" borderId="15" xfId="0" applyNumberFormat="1" applyFont="1" applyFill="1" applyBorder="1" applyAlignment="1">
      <alignment horizontal="right"/>
    </xf>
    <xf numFmtId="0" fontId="37" fillId="39" borderId="85" xfId="0" applyFont="1" applyFill="1" applyBorder="1" applyAlignment="1">
      <alignment/>
    </xf>
    <xf numFmtId="0" fontId="37" fillId="39" borderId="15" xfId="0" applyFont="1" applyFill="1" applyBorder="1" applyAlignment="1">
      <alignment/>
    </xf>
    <xf numFmtId="0" fontId="37" fillId="39" borderId="16" xfId="0" applyFont="1" applyFill="1" applyBorder="1" applyAlignment="1">
      <alignment horizontal="center"/>
    </xf>
    <xf numFmtId="0" fontId="37" fillId="39" borderId="15" xfId="0" applyFont="1" applyFill="1" applyBorder="1" applyAlignment="1">
      <alignment horizontal="center"/>
    </xf>
    <xf numFmtId="0" fontId="37" fillId="39" borderId="39" xfId="0" applyFont="1" applyFill="1" applyBorder="1" applyAlignment="1">
      <alignment/>
    </xf>
    <xf numFmtId="2" fontId="37" fillId="39" borderId="15" xfId="0" applyNumberFormat="1" applyFont="1" applyFill="1" applyBorder="1" applyAlignment="1">
      <alignment/>
    </xf>
    <xf numFmtId="43" fontId="37" fillId="39" borderId="15" xfId="0" applyNumberFormat="1" applyFont="1" applyFill="1" applyBorder="1" applyAlignment="1">
      <alignment horizontal="right"/>
    </xf>
    <xf numFmtId="2" fontId="37" fillId="39" borderId="39" xfId="0" applyNumberFormat="1" applyFont="1" applyFill="1" applyBorder="1" applyAlignment="1">
      <alignment/>
    </xf>
    <xf numFmtId="0" fontId="43" fillId="39" borderId="15" xfId="0" applyFont="1" applyFill="1" applyBorder="1" applyAlignment="1">
      <alignment/>
    </xf>
    <xf numFmtId="0" fontId="85" fillId="39" borderId="15" xfId="0" applyFont="1" applyFill="1" applyBorder="1" applyAlignment="1">
      <alignment/>
    </xf>
    <xf numFmtId="184" fontId="34" fillId="39" borderId="39" xfId="0" applyNumberFormat="1" applyFont="1" applyFill="1" applyBorder="1" applyAlignment="1">
      <alignment/>
    </xf>
    <xf numFmtId="184" fontId="37" fillId="39" borderId="39" xfId="0" applyNumberFormat="1" applyFont="1" applyFill="1" applyBorder="1" applyAlignment="1">
      <alignment/>
    </xf>
    <xf numFmtId="0" fontId="0" fillId="39" borderId="85" xfId="0" applyFill="1" applyBorder="1" applyAlignment="1">
      <alignment/>
    </xf>
    <xf numFmtId="43" fontId="34" fillId="39" borderId="39" xfId="0" applyNumberFormat="1" applyFont="1" applyFill="1" applyBorder="1" applyAlignment="1">
      <alignment/>
    </xf>
    <xf numFmtId="0" fontId="6" fillId="39" borderId="85" xfId="0" applyFont="1" applyFill="1" applyBorder="1" applyAlignment="1">
      <alignment/>
    </xf>
    <xf numFmtId="0" fontId="6" fillId="39" borderId="15" xfId="0" applyFont="1" applyFill="1" applyBorder="1" applyAlignment="1">
      <alignment/>
    </xf>
    <xf numFmtId="0" fontId="6" fillId="39" borderId="39" xfId="0" applyFont="1" applyFill="1" applyBorder="1" applyAlignment="1">
      <alignment/>
    </xf>
    <xf numFmtId="9" fontId="34" fillId="39" borderId="15" xfId="0" applyNumberFormat="1" applyFont="1" applyFill="1" applyBorder="1" applyAlignment="1">
      <alignment horizontal="center"/>
    </xf>
    <xf numFmtId="164" fontId="34" fillId="39" borderId="15" xfId="0" applyNumberFormat="1" applyFont="1" applyFill="1" applyBorder="1" applyAlignment="1">
      <alignment/>
    </xf>
    <xf numFmtId="0" fontId="0" fillId="0" borderId="89" xfId="0" applyFont="1" applyFill="1" applyBorder="1" applyAlignment="1">
      <alignment/>
    </xf>
    <xf numFmtId="0" fontId="0" fillId="0" borderId="89" xfId="0" applyFont="1" applyFill="1" applyBorder="1" applyAlignment="1">
      <alignment horizontal="center"/>
    </xf>
    <xf numFmtId="0" fontId="24" fillId="0" borderId="85" xfId="0" applyFont="1" applyBorder="1" applyAlignment="1">
      <alignment wrapText="1"/>
    </xf>
    <xf numFmtId="0" fontId="51" fillId="34" borderId="0" xfId="0" applyFont="1" applyFill="1" applyAlignment="1">
      <alignment horizontal="center"/>
    </xf>
    <xf numFmtId="0" fontId="67" fillId="34" borderId="0" xfId="0" applyFont="1" applyFill="1" applyAlignment="1">
      <alignment horizontal="center"/>
    </xf>
    <xf numFmtId="0" fontId="72" fillId="0" borderId="62" xfId="0" applyFont="1" applyFill="1" applyBorder="1" applyAlignment="1">
      <alignment horizontal="center" wrapText="1"/>
    </xf>
    <xf numFmtId="0" fontId="72" fillId="0" borderId="65" xfId="0" applyFont="1" applyFill="1" applyBorder="1" applyAlignment="1">
      <alignment horizontal="center" wrapText="1"/>
    </xf>
    <xf numFmtId="0" fontId="72" fillId="0" borderId="64" xfId="0" applyFont="1" applyFill="1" applyBorder="1" applyAlignment="1">
      <alignment wrapText="1"/>
    </xf>
    <xf numFmtId="0" fontId="72" fillId="0" borderId="67" xfId="0" applyFont="1" applyFill="1" applyBorder="1" applyAlignment="1">
      <alignment wrapText="1"/>
    </xf>
    <xf numFmtId="0" fontId="72" fillId="0" borderId="62" xfId="0" applyFont="1" applyFill="1" applyBorder="1" applyAlignment="1">
      <alignment horizontal="right" wrapText="1"/>
    </xf>
    <xf numFmtId="0" fontId="72" fillId="0" borderId="65" xfId="0" applyFont="1" applyFill="1" applyBorder="1" applyAlignment="1">
      <alignment horizontal="right" wrapText="1"/>
    </xf>
    <xf numFmtId="4" fontId="50" fillId="0" borderId="62" xfId="0" applyNumberFormat="1" applyFont="1" applyFill="1" applyBorder="1" applyAlignment="1">
      <alignment horizontal="right" wrapText="1"/>
    </xf>
    <xf numFmtId="4" fontId="50" fillId="0" borderId="65" xfId="0" applyNumberFormat="1" applyFont="1" applyFill="1" applyBorder="1" applyAlignment="1">
      <alignment horizontal="right" wrapText="1"/>
    </xf>
    <xf numFmtId="2" fontId="45" fillId="0" borderId="0" xfId="0" applyNumberFormat="1" applyFont="1" applyFill="1" applyAlignment="1">
      <alignment horizontal="center"/>
    </xf>
    <xf numFmtId="0" fontId="3" fillId="0" borderId="0" xfId="0" applyFont="1" applyFill="1" applyAlignment="1">
      <alignment horizontal="right" vertical="center" wrapText="1"/>
    </xf>
    <xf numFmtId="0" fontId="6" fillId="34" borderId="66" xfId="0" applyFont="1" applyFill="1" applyBorder="1" applyAlignment="1">
      <alignment horizontal="center"/>
    </xf>
    <xf numFmtId="0" fontId="37" fillId="34" borderId="31" xfId="0" applyFont="1" applyFill="1" applyBorder="1" applyAlignment="1">
      <alignment horizontal="center"/>
    </xf>
    <xf numFmtId="0" fontId="37" fillId="34" borderId="29" xfId="0" applyFont="1" applyFill="1" applyBorder="1" applyAlignment="1">
      <alignment horizontal="center"/>
    </xf>
    <xf numFmtId="0" fontId="38" fillId="34" borderId="92" xfId="0" applyFont="1" applyFill="1" applyBorder="1" applyAlignment="1">
      <alignment horizontal="center"/>
    </xf>
    <xf numFmtId="0" fontId="38" fillId="34" borderId="94" xfId="0" applyFont="1" applyFill="1" applyBorder="1" applyAlignment="1">
      <alignment horizontal="center"/>
    </xf>
    <xf numFmtId="0" fontId="38" fillId="34" borderId="95" xfId="0" applyFont="1" applyFill="1" applyBorder="1" applyAlignment="1">
      <alignment horizontal="center"/>
    </xf>
    <xf numFmtId="0" fontId="37" fillId="34" borderId="92" xfId="0" applyFont="1" applyFill="1" applyBorder="1" applyAlignment="1">
      <alignment horizontal="center"/>
    </xf>
    <xf numFmtId="0" fontId="37" fillId="34" borderId="95" xfId="0" applyFont="1" applyFill="1" applyBorder="1" applyAlignment="1">
      <alignment horizontal="center"/>
    </xf>
    <xf numFmtId="0" fontId="37" fillId="34" borderId="18" xfId="0" applyFont="1" applyFill="1" applyBorder="1" applyAlignment="1">
      <alignment horizontal="center"/>
    </xf>
    <xf numFmtId="0" fontId="37" fillId="34" borderId="12" xfId="0" applyFont="1" applyFill="1" applyBorder="1" applyAlignment="1">
      <alignment horizontal="center"/>
    </xf>
    <xf numFmtId="0" fontId="37" fillId="34" borderId="33" xfId="0" applyFont="1" applyFill="1" applyBorder="1" applyAlignment="1">
      <alignment horizontal="center"/>
    </xf>
    <xf numFmtId="0" fontId="0" fillId="34" borderId="0" xfId="0" applyFill="1" applyBorder="1" applyAlignment="1">
      <alignment horizontal="center"/>
    </xf>
    <xf numFmtId="0" fontId="0" fillId="34" borderId="0" xfId="0" applyFont="1" applyFill="1" applyBorder="1" applyAlignment="1">
      <alignment horizontal="center" wrapText="1"/>
    </xf>
    <xf numFmtId="0" fontId="0" fillId="34" borderId="0" xfId="0" applyFill="1" applyBorder="1" applyAlignment="1">
      <alignment horizontal="center" wrapText="1"/>
    </xf>
    <xf numFmtId="0" fontId="0" fillId="34" borderId="0" xfId="0" applyFill="1" applyAlignment="1">
      <alignment horizontal="center"/>
    </xf>
    <xf numFmtId="0" fontId="3" fillId="34" borderId="0" xfId="0" applyFont="1" applyFill="1" applyAlignment="1">
      <alignment/>
    </xf>
    <xf numFmtId="0" fontId="18" fillId="34" borderId="0" xfId="0" applyFont="1" applyFill="1" applyAlignment="1">
      <alignment horizontal="center" wrapText="1"/>
    </xf>
    <xf numFmtId="4" fontId="18" fillId="34" borderId="0" xfId="0" applyNumberFormat="1" applyFont="1" applyFill="1" applyAlignment="1">
      <alignment horizontal="center"/>
    </xf>
    <xf numFmtId="0" fontId="87" fillId="43" borderId="0" xfId="0" applyFont="1" applyFill="1" applyAlignment="1">
      <alignment horizontal="center"/>
    </xf>
    <xf numFmtId="0" fontId="16" fillId="34" borderId="0" xfId="0" applyFont="1" applyFill="1" applyAlignment="1">
      <alignment horizontal="center"/>
    </xf>
    <xf numFmtId="0" fontId="4" fillId="34" borderId="0" xfId="0" applyFont="1" applyFill="1" applyAlignment="1">
      <alignment horizontal="center"/>
    </xf>
    <xf numFmtId="0" fontId="18" fillId="34" borderId="0" xfId="0" applyFont="1" applyFill="1" applyAlignment="1">
      <alignment horizontal="center"/>
    </xf>
    <xf numFmtId="4" fontId="3" fillId="34" borderId="0" xfId="0" applyNumberFormat="1" applyFont="1" applyFill="1" applyBorder="1" applyAlignment="1">
      <alignment horizontal="left"/>
    </xf>
    <xf numFmtId="2" fontId="3" fillId="34" borderId="0" xfId="0" applyNumberFormat="1" applyFont="1" applyFill="1" applyAlignment="1">
      <alignment horizontal="right"/>
    </xf>
    <xf numFmtId="4" fontId="18" fillId="34" borderId="66" xfId="0" applyNumberFormat="1" applyFont="1" applyFill="1" applyBorder="1" applyAlignment="1">
      <alignment horizontal="center"/>
    </xf>
    <xf numFmtId="0" fontId="87" fillId="34" borderId="0" xfId="0" applyFont="1" applyFill="1" applyAlignment="1">
      <alignment horizontal="center"/>
    </xf>
    <xf numFmtId="0" fontId="18" fillId="34" borderId="66" xfId="0" applyFont="1" applyFill="1" applyBorder="1" applyAlignment="1">
      <alignment horizontal="center"/>
    </xf>
    <xf numFmtId="0" fontId="36" fillId="0" borderId="0" xfId="0" applyFont="1" applyFill="1" applyAlignment="1">
      <alignment horizontal="center"/>
    </xf>
    <xf numFmtId="0" fontId="6" fillId="0" borderId="0" xfId="0" applyFont="1" applyFill="1" applyAlignment="1">
      <alignment horizontal="center"/>
    </xf>
    <xf numFmtId="0" fontId="3" fillId="0" borderId="96"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97"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97" xfId="0" applyFont="1" applyFill="1" applyBorder="1" applyAlignment="1">
      <alignment horizontal="center" vertical="center" wrapText="1"/>
    </xf>
    <xf numFmtId="0" fontId="3" fillId="0" borderId="86" xfId="0" applyFont="1" applyFill="1" applyBorder="1" applyAlignment="1">
      <alignment horizontal="center" vertical="center" wrapText="1"/>
    </xf>
    <xf numFmtId="2" fontId="3" fillId="0" borderId="97" xfId="0" applyNumberFormat="1" applyFont="1" applyFill="1" applyBorder="1" applyAlignment="1">
      <alignment horizontal="center" wrapText="1"/>
    </xf>
    <xf numFmtId="2" fontId="3" fillId="0" borderId="86" xfId="0" applyNumberFormat="1" applyFont="1" applyFill="1" applyBorder="1" applyAlignment="1">
      <alignment horizontal="center" wrapText="1"/>
    </xf>
    <xf numFmtId="0" fontId="3" fillId="0" borderId="98"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91" fillId="39" borderId="0" xfId="0" applyFont="1" applyFill="1" applyAlignment="1">
      <alignment horizontal="left"/>
    </xf>
    <xf numFmtId="0" fontId="3" fillId="39" borderId="48" xfId="0" applyFont="1" applyFill="1" applyBorder="1" applyAlignment="1">
      <alignment horizontal="center"/>
    </xf>
    <xf numFmtId="0" fontId="3" fillId="39" borderId="32" xfId="0" applyFont="1" applyFill="1" applyBorder="1" applyAlignment="1">
      <alignment horizontal="center"/>
    </xf>
    <xf numFmtId="0" fontId="3" fillId="39" borderId="49" xfId="0" applyFont="1" applyFill="1" applyBorder="1" applyAlignment="1">
      <alignment horizontal="center"/>
    </xf>
    <xf numFmtId="2" fontId="3" fillId="39" borderId="48" xfId="0" applyNumberFormat="1" applyFont="1" applyFill="1" applyBorder="1" applyAlignment="1">
      <alignment horizontal="center"/>
    </xf>
    <xf numFmtId="2" fontId="3" fillId="39" borderId="32" xfId="0" applyNumberFormat="1" applyFont="1" applyFill="1" applyBorder="1" applyAlignment="1">
      <alignment horizontal="center"/>
    </xf>
    <xf numFmtId="2" fontId="3" fillId="39" borderId="49" xfId="0" applyNumberFormat="1" applyFont="1" applyFill="1" applyBorder="1" applyAlignment="1">
      <alignment horizontal="center"/>
    </xf>
    <xf numFmtId="0" fontId="50" fillId="39" borderId="16" xfId="0" applyFont="1" applyFill="1" applyBorder="1" applyAlignment="1">
      <alignment horizontal="center" wrapText="1"/>
    </xf>
    <xf numFmtId="0" fontId="50" fillId="39" borderId="99" xfId="0" applyFont="1" applyFill="1" applyBorder="1" applyAlignment="1">
      <alignment horizontal="center" wrapText="1"/>
    </xf>
    <xf numFmtId="0" fontId="43" fillId="0" borderId="15" xfId="0" applyFont="1" applyBorder="1" applyAlignment="1">
      <alignment horizontal="center" vertical="top" wrapText="1"/>
    </xf>
    <xf numFmtId="0" fontId="50" fillId="0" borderId="85" xfId="0" applyFont="1" applyFill="1" applyBorder="1" applyAlignment="1">
      <alignment horizontal="center" wrapText="1"/>
    </xf>
    <xf numFmtId="0" fontId="50" fillId="0" borderId="15" xfId="0" applyFont="1" applyFill="1" applyBorder="1" applyAlignment="1">
      <alignment horizontal="center" wrapText="1"/>
    </xf>
    <xf numFmtId="0" fontId="3" fillId="39" borderId="100" xfId="0" applyFont="1" applyFill="1" applyBorder="1" applyAlignment="1">
      <alignment horizontal="center"/>
    </xf>
    <xf numFmtId="0" fontId="3" fillId="39" borderId="11" xfId="0" applyFont="1" applyFill="1" applyBorder="1" applyAlignment="1">
      <alignment horizontal="center"/>
    </xf>
    <xf numFmtId="0" fontId="0" fillId="0" borderId="99" xfId="0" applyBorder="1" applyAlignment="1">
      <alignment/>
    </xf>
    <xf numFmtId="0" fontId="3" fillId="39" borderId="68" xfId="0" applyFont="1" applyFill="1" applyBorder="1" applyAlignment="1">
      <alignment horizontal="center"/>
    </xf>
    <xf numFmtId="0" fontId="3" fillId="39" borderId="101" xfId="0" applyFont="1" applyFill="1" applyBorder="1" applyAlignment="1">
      <alignment horizontal="center"/>
    </xf>
    <xf numFmtId="0" fontId="3" fillId="39" borderId="102" xfId="0" applyFont="1" applyFill="1" applyBorder="1" applyAlignment="1">
      <alignment horizontal="center"/>
    </xf>
    <xf numFmtId="0" fontId="3" fillId="39" borderId="0" xfId="0" applyFont="1" applyFill="1" applyAlignment="1">
      <alignment horizontal="center"/>
    </xf>
    <xf numFmtId="0" fontId="3" fillId="39" borderId="0" xfId="0" applyFont="1" applyFill="1" applyAlignment="1">
      <alignment horizontal="left"/>
    </xf>
    <xf numFmtId="0" fontId="3" fillId="39" borderId="0" xfId="0" applyFont="1" applyFill="1" applyAlignment="1">
      <alignment horizontal="center" wrapText="1"/>
    </xf>
    <xf numFmtId="0" fontId="3" fillId="39" borderId="18" xfId="0" applyFont="1" applyFill="1" applyBorder="1" applyAlignment="1">
      <alignment horizontal="center" wrapText="1"/>
    </xf>
    <xf numFmtId="0" fontId="3" fillId="39" borderId="103" xfId="0" applyFont="1" applyFill="1" applyBorder="1" applyAlignment="1">
      <alignment horizontal="center" wrapText="1"/>
    </xf>
    <xf numFmtId="0" fontId="19" fillId="0" borderId="0" xfId="0" applyFont="1" applyAlignment="1">
      <alignment horizontal="center"/>
    </xf>
    <xf numFmtId="0" fontId="7" fillId="0" borderId="0" xfId="0" applyFont="1" applyAlignment="1">
      <alignment horizontal="center" vertical="top"/>
    </xf>
    <xf numFmtId="0" fontId="4" fillId="0" borderId="0" xfId="0" applyFont="1" applyAlignment="1">
      <alignment horizontal="center" vertical="top"/>
    </xf>
    <xf numFmtId="43" fontId="7" fillId="0" borderId="0" xfId="42" applyFont="1" applyAlignment="1">
      <alignment horizontal="justify"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Documents%20and%20Settings\user\My%20Documents\6%20different%20types%20(Facility)%20Building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Zelalem%20Document\EQUIP.%20O&amp;%20O%20COST%20CALCULATION%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michaela\Desktop\For%20P.%20Minister's%20office\10%20NEW%20UNIVERSITY%20COST%20BREAK%20DOW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Labour Cost"/>
      <sheetName val="Material price"/>
      <sheetName val="G+5 Build."/>
      <sheetName val="G+5 Sum"/>
      <sheetName val="Lib. &amp; Cafeteria"/>
      <sheetName val="Lib.&amp; Caf. sum."/>
      <sheetName val="Caffeteria"/>
      <sheetName val="Cafter. sum."/>
      <sheetName val="Class room"/>
      <sheetName val="Class room Sum."/>
      <sheetName val="Dormitory"/>
      <sheetName val="Dorm. sum."/>
      <sheetName val="Office build"/>
      <sheetName val="Office summ"/>
      <sheetName val="summery"/>
      <sheetName val="Main building"/>
      <sheetName val="Sanitary M.BLD."/>
      <sheetName val="Electrical M.BLD"/>
      <sheetName val="Services quarter"/>
      <sheetName val="Sanitary S.QUR."/>
      <sheetName val="Elect.SQUR."/>
      <sheetName val="Materials breakdown"/>
    </sheetNames>
    <sheetDataSet>
      <sheetData sheetId="3">
        <row r="3">
          <cell r="E3">
            <v>8.875</v>
          </cell>
        </row>
        <row r="6">
          <cell r="E6">
            <v>6.2124999999999995</v>
          </cell>
        </row>
        <row r="7">
          <cell r="E7">
            <v>3.55</v>
          </cell>
        </row>
        <row r="12">
          <cell r="E12">
            <v>7.9875</v>
          </cell>
        </row>
        <row r="15">
          <cell r="E15">
            <v>3.55</v>
          </cell>
        </row>
        <row r="16">
          <cell r="E16">
            <v>8.875</v>
          </cell>
        </row>
      </sheetData>
      <sheetData sheetId="4">
        <row r="47">
          <cell r="D47">
            <v>65</v>
          </cell>
        </row>
        <row r="65">
          <cell r="D65">
            <v>58</v>
          </cell>
        </row>
        <row r="67">
          <cell r="D67">
            <v>1.35</v>
          </cell>
        </row>
        <row r="68">
          <cell r="D68">
            <v>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AvePrice"/>
      <sheetName val="Sheet6"/>
      <sheetName val="Percentage"/>
    </sheetNames>
    <sheetDataSet>
      <sheetData sheetId="4">
        <row r="6">
          <cell r="P6">
            <v>539550</v>
          </cell>
        </row>
        <row r="7">
          <cell r="P7">
            <v>650710</v>
          </cell>
        </row>
        <row r="10">
          <cell r="P10">
            <v>486570</v>
          </cell>
        </row>
        <row r="13">
          <cell r="P13">
            <v>367889.87413793104</v>
          </cell>
        </row>
        <row r="14">
          <cell r="P14">
            <v>637650</v>
          </cell>
        </row>
        <row r="15">
          <cell r="P15">
            <v>321000</v>
          </cell>
        </row>
        <row r="16">
          <cell r="P16">
            <v>337396</v>
          </cell>
        </row>
        <row r="17">
          <cell r="P17">
            <v>362190</v>
          </cell>
        </row>
        <row r="21">
          <cell r="P21">
            <v>4056500</v>
          </cell>
        </row>
        <row r="22">
          <cell r="P22">
            <v>1076316.6666666667</v>
          </cell>
        </row>
        <row r="23">
          <cell r="P23">
            <v>232530</v>
          </cell>
        </row>
        <row r="24">
          <cell r="P24">
            <v>543560</v>
          </cell>
        </row>
        <row r="26">
          <cell r="P26">
            <v>975083.3333333334</v>
          </cell>
        </row>
        <row r="27">
          <cell r="P27">
            <v>622397.5</v>
          </cell>
        </row>
        <row r="31">
          <cell r="P31">
            <v>2390517.5</v>
          </cell>
        </row>
        <row r="32">
          <cell r="P32">
            <v>1708816.6666666667</v>
          </cell>
        </row>
        <row r="33">
          <cell r="P33">
            <v>2331595</v>
          </cell>
        </row>
        <row r="35">
          <cell r="P35">
            <v>920926.6666666666</v>
          </cell>
        </row>
        <row r="36">
          <cell r="P36">
            <v>988341.7</v>
          </cell>
        </row>
        <row r="40">
          <cell r="P40">
            <v>4819560</v>
          </cell>
        </row>
        <row r="41">
          <cell r="P41">
            <v>2095355</v>
          </cell>
        </row>
        <row r="42">
          <cell r="P42">
            <v>2948600</v>
          </cell>
        </row>
        <row r="43">
          <cell r="P43">
            <v>3657372</v>
          </cell>
        </row>
        <row r="47">
          <cell r="P47">
            <v>18500000</v>
          </cell>
        </row>
        <row r="48">
          <cell r="P48">
            <v>288745</v>
          </cell>
        </row>
        <row r="49">
          <cell r="P49">
            <v>1477125</v>
          </cell>
        </row>
        <row r="50">
          <cell r="P50">
            <v>15940</v>
          </cell>
        </row>
        <row r="51">
          <cell r="P51">
            <v>119490</v>
          </cell>
        </row>
        <row r="54">
          <cell r="P54">
            <v>1159000</v>
          </cell>
        </row>
        <row r="55">
          <cell r="P55">
            <v>5250270</v>
          </cell>
        </row>
        <row r="56">
          <cell r="P56">
            <v>11242300</v>
          </cell>
        </row>
        <row r="57">
          <cell r="P57">
            <v>216945</v>
          </cell>
        </row>
        <row r="58">
          <cell r="P58">
            <v>242235</v>
          </cell>
        </row>
        <row r="59">
          <cell r="P59">
            <v>609730</v>
          </cell>
        </row>
        <row r="65">
          <cell r="P65">
            <v>48000</v>
          </cell>
        </row>
        <row r="66">
          <cell r="P66">
            <v>628930</v>
          </cell>
        </row>
        <row r="67">
          <cell r="P67">
            <v>168860</v>
          </cell>
        </row>
        <row r="68">
          <cell r="P68">
            <v>184841</v>
          </cell>
        </row>
        <row r="69">
          <cell r="P69">
            <v>101020</v>
          </cell>
        </row>
        <row r="70">
          <cell r="P70">
            <v>268840</v>
          </cell>
        </row>
        <row r="79">
          <cell r="P79">
            <v>266570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tu"/>
      <sheetName val="Standard HCB Metu"/>
      <sheetName val="Ambo"/>
      <sheetName val="Standard HCB Ambo"/>
      <sheetName val="Assosa"/>
      <sheetName val="Standard HCB Assosa"/>
      <sheetName val="ADIGRAT"/>
      <sheetName val="Standard HCB ADIGRAT"/>
      <sheetName val="HOSANA"/>
      <sheetName val="Standard HCB HOSANA"/>
      <sheetName val="BOLA HORA"/>
      <sheetName val="Standard HCB BOLA HORA"/>
      <sheetName val="WOLDIA"/>
      <sheetName val="Standard HCB WOLDIA"/>
      <sheetName val="D. Tabor"/>
      <sheetName val="Standard HCB D. Tabor"/>
      <sheetName val="WOLKITE"/>
      <sheetName val="Standard HCB Wolkite"/>
      <sheetName val="electrical"/>
      <sheetName val="SANITARY"/>
    </sheetNames>
    <sheetDataSet>
      <sheetData sheetId="2">
        <row r="450">
          <cell r="L450">
            <v>2</v>
          </cell>
        </row>
        <row r="713">
          <cell r="L713">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9"/>
  <sheetViews>
    <sheetView view="pageBreakPreview" zoomScaleSheetLayoutView="100" zoomScalePageLayoutView="0" workbookViewId="0" topLeftCell="A1">
      <pane ySplit="3" topLeftCell="A4" activePane="bottomLeft" state="frozen"/>
      <selection pane="topLeft" activeCell="A1" sqref="A1"/>
      <selection pane="bottomLeft" activeCell="C18" sqref="C18"/>
    </sheetView>
  </sheetViews>
  <sheetFormatPr defaultColWidth="9.140625" defaultRowHeight="12.75"/>
  <cols>
    <col min="1" max="1" width="12.7109375" style="634" customWidth="1"/>
    <col min="2" max="2" width="65.421875" style="556" customWidth="1"/>
    <col min="3" max="3" width="12.7109375" style="556" customWidth="1"/>
  </cols>
  <sheetData>
    <row r="1" spans="1:3" ht="33">
      <c r="A1" s="1262" t="s">
        <v>1517</v>
      </c>
      <c r="B1" s="1262"/>
      <c r="C1" s="1262"/>
    </row>
    <row r="2" spans="1:3" ht="16.5" thickBot="1">
      <c r="A2" s="562"/>
      <c r="B2" s="563" t="s">
        <v>375</v>
      </c>
      <c r="C2" s="564"/>
    </row>
    <row r="3" spans="1:4" s="64" customFormat="1" ht="24.75" customHeight="1" thickBot="1" thickTop="1">
      <c r="A3" s="565" t="s">
        <v>873</v>
      </c>
      <c r="B3" s="566" t="s">
        <v>3175</v>
      </c>
      <c r="C3" s="567" t="s">
        <v>874</v>
      </c>
      <c r="D3" s="64">
        <f>1.65*1</f>
        <v>1.65</v>
      </c>
    </row>
    <row r="4" spans="1:3" ht="16.5" thickTop="1">
      <c r="A4" s="568">
        <v>1000</v>
      </c>
      <c r="B4" s="569"/>
      <c r="C4" s="570"/>
    </row>
    <row r="5" spans="1:4" ht="15.75">
      <c r="A5" s="808">
        <v>1125</v>
      </c>
      <c r="B5" s="809" t="s">
        <v>875</v>
      </c>
      <c r="C5" s="810">
        <f>D5*D3</f>
        <v>54.449999999999996</v>
      </c>
      <c r="D5" s="571">
        <v>33</v>
      </c>
    </row>
    <row r="6" spans="1:4" ht="30">
      <c r="A6" s="808">
        <v>1645</v>
      </c>
      <c r="B6" s="809" t="s">
        <v>876</v>
      </c>
      <c r="C6" s="810">
        <f>D6*D3</f>
        <v>420.75</v>
      </c>
      <c r="D6" s="571">
        <v>255</v>
      </c>
    </row>
    <row r="7" spans="1:4" ht="15.75">
      <c r="A7" s="808">
        <v>1652</v>
      </c>
      <c r="B7" s="809" t="s">
        <v>877</v>
      </c>
      <c r="C7" s="810">
        <f>D7*D3</f>
        <v>66.99</v>
      </c>
      <c r="D7" s="571">
        <v>40.6</v>
      </c>
    </row>
    <row r="8" spans="1:4" ht="15.75">
      <c r="A8" s="808">
        <v>1661</v>
      </c>
      <c r="B8" s="809" t="s">
        <v>878</v>
      </c>
      <c r="C8" s="810">
        <v>1800</v>
      </c>
      <c r="D8" s="571">
        <v>1175</v>
      </c>
    </row>
    <row r="9" spans="1:4" ht="15.75">
      <c r="A9" s="808">
        <v>1663</v>
      </c>
      <c r="B9" s="809" t="s">
        <v>879</v>
      </c>
      <c r="C9" s="810">
        <v>3250</v>
      </c>
      <c r="D9" s="571">
        <v>1980</v>
      </c>
    </row>
    <row r="10" spans="1:4" ht="30">
      <c r="A10" s="808">
        <v>1690</v>
      </c>
      <c r="B10" s="809" t="s">
        <v>880</v>
      </c>
      <c r="C10" s="810">
        <f>D3*D10</f>
        <v>23.099999999999998</v>
      </c>
      <c r="D10" s="571">
        <v>14</v>
      </c>
    </row>
    <row r="11" spans="1:4" ht="15.75">
      <c r="A11" s="808">
        <v>1691</v>
      </c>
      <c r="B11" s="809" t="s">
        <v>881</v>
      </c>
      <c r="C11" s="810">
        <f>D11*D3</f>
        <v>52.8</v>
      </c>
      <c r="D11" s="571">
        <v>32</v>
      </c>
    </row>
    <row r="12" spans="1:4" ht="15.75">
      <c r="A12" s="808">
        <v>1700</v>
      </c>
      <c r="B12" s="809" t="s">
        <v>1740</v>
      </c>
      <c r="C12" s="810">
        <f>D12*D3</f>
        <v>4768.5</v>
      </c>
      <c r="D12" s="571">
        <v>2890</v>
      </c>
    </row>
    <row r="13" spans="1:4" ht="15.75">
      <c r="A13" s="808">
        <v>1704</v>
      </c>
      <c r="B13" s="809" t="s">
        <v>1741</v>
      </c>
      <c r="C13" s="810">
        <f>D13*D3</f>
        <v>610.5</v>
      </c>
      <c r="D13" s="571">
        <v>370</v>
      </c>
    </row>
    <row r="14" spans="1:4" ht="15.75">
      <c r="A14" s="808">
        <v>1712</v>
      </c>
      <c r="B14" s="809" t="s">
        <v>1742</v>
      </c>
      <c r="C14" s="810">
        <f>D14*D3</f>
        <v>227.37</v>
      </c>
      <c r="D14" s="571">
        <v>137.8</v>
      </c>
    </row>
    <row r="15" spans="1:4" s="930" customFormat="1" ht="15">
      <c r="A15" s="967">
        <v>1949</v>
      </c>
      <c r="B15" s="968" t="s">
        <v>1743</v>
      </c>
      <c r="C15" s="969">
        <v>325</v>
      </c>
      <c r="D15" s="969">
        <v>165</v>
      </c>
    </row>
    <row r="16" spans="1:4" s="930" customFormat="1" ht="15">
      <c r="A16" s="967">
        <v>1951</v>
      </c>
      <c r="B16" s="968" t="s">
        <v>1744</v>
      </c>
      <c r="C16" s="969">
        <v>325</v>
      </c>
      <c r="D16" s="969">
        <v>165</v>
      </c>
    </row>
    <row r="17" spans="1:4" ht="15">
      <c r="A17" s="811">
        <v>1954</v>
      </c>
      <c r="B17" s="809" t="s">
        <v>1745</v>
      </c>
      <c r="C17" s="810">
        <f>D17*D3</f>
        <v>272.25</v>
      </c>
      <c r="D17" s="571">
        <v>165</v>
      </c>
    </row>
    <row r="18" spans="1:4" s="930" customFormat="1" ht="15.75">
      <c r="A18" s="970">
        <v>1955</v>
      </c>
      <c r="B18" s="968" t="s">
        <v>1746</v>
      </c>
      <c r="C18" s="969">
        <v>480</v>
      </c>
      <c r="D18" s="969">
        <v>250</v>
      </c>
    </row>
    <row r="19" spans="1:4" ht="15">
      <c r="A19" s="811">
        <v>2000</v>
      </c>
      <c r="B19" s="809"/>
      <c r="C19" s="812"/>
      <c r="D19" s="572"/>
    </row>
    <row r="20" spans="1:4" s="930" customFormat="1" ht="15.75">
      <c r="A20" s="970">
        <v>2156</v>
      </c>
      <c r="B20" s="968" t="s">
        <v>398</v>
      </c>
      <c r="C20" s="969">
        <v>530</v>
      </c>
      <c r="D20" s="969">
        <v>250</v>
      </c>
    </row>
    <row r="21" spans="1:4" s="930" customFormat="1" ht="15">
      <c r="A21" s="967">
        <v>2304</v>
      </c>
      <c r="B21" s="968" t="s">
        <v>687</v>
      </c>
      <c r="C21" s="969">
        <v>78</v>
      </c>
      <c r="D21" s="969">
        <v>35</v>
      </c>
    </row>
    <row r="22" spans="1:4" s="930" customFormat="1" ht="15">
      <c r="A22" s="967" t="s">
        <v>688</v>
      </c>
      <c r="B22" s="968" t="s">
        <v>689</v>
      </c>
      <c r="C22" s="969">
        <v>78</v>
      </c>
      <c r="D22" s="969">
        <v>35</v>
      </c>
    </row>
    <row r="23" spans="1:4" s="930" customFormat="1" ht="15">
      <c r="A23" s="967">
        <v>2308</v>
      </c>
      <c r="B23" s="968" t="s">
        <v>690</v>
      </c>
      <c r="C23" s="969">
        <v>78</v>
      </c>
      <c r="D23" s="969">
        <v>39</v>
      </c>
    </row>
    <row r="24" spans="1:4" s="930" customFormat="1" ht="15">
      <c r="A24" s="967">
        <v>2309</v>
      </c>
      <c r="B24" s="968" t="s">
        <v>691</v>
      </c>
      <c r="C24" s="969">
        <v>78</v>
      </c>
      <c r="D24" s="969">
        <v>35</v>
      </c>
    </row>
    <row r="25" spans="1:4" s="930" customFormat="1" ht="15">
      <c r="A25" s="967">
        <v>2310</v>
      </c>
      <c r="B25" s="968" t="s">
        <v>692</v>
      </c>
      <c r="C25" s="969">
        <v>78</v>
      </c>
      <c r="D25" s="969">
        <v>45</v>
      </c>
    </row>
    <row r="26" spans="1:4" ht="15">
      <c r="A26" s="811">
        <v>2351</v>
      </c>
      <c r="B26" s="809" t="s">
        <v>1744</v>
      </c>
      <c r="C26" s="812">
        <v>325</v>
      </c>
      <c r="D26" s="572">
        <v>165</v>
      </c>
    </row>
    <row r="27" spans="1:4" ht="15.75">
      <c r="A27" s="808">
        <v>2355</v>
      </c>
      <c r="B27" s="809" t="s">
        <v>1746</v>
      </c>
      <c r="C27" s="812">
        <f>D27*D3</f>
        <v>412.5</v>
      </c>
      <c r="D27" s="572">
        <v>250</v>
      </c>
    </row>
    <row r="28" spans="1:4" ht="15">
      <c r="A28" s="811">
        <v>2823</v>
      </c>
      <c r="B28" s="809" t="s">
        <v>693</v>
      </c>
      <c r="C28" s="812">
        <f>D28*D3</f>
        <v>1278.75</v>
      </c>
      <c r="D28" s="572">
        <v>775</v>
      </c>
    </row>
    <row r="29" spans="1:4" ht="15">
      <c r="A29" s="811">
        <v>2824</v>
      </c>
      <c r="B29" s="809" t="s">
        <v>694</v>
      </c>
      <c r="C29" s="812">
        <f>D29*D3</f>
        <v>1278.75</v>
      </c>
      <c r="D29" s="572">
        <v>775</v>
      </c>
    </row>
    <row r="30" spans="1:4" ht="15">
      <c r="A30" s="811">
        <v>2891</v>
      </c>
      <c r="B30" s="809" t="s">
        <v>695</v>
      </c>
      <c r="C30" s="812">
        <f>D30*D3</f>
        <v>577.5</v>
      </c>
      <c r="D30" s="572">
        <v>350</v>
      </c>
    </row>
    <row r="31" spans="1:4" s="930" customFormat="1" ht="15.75">
      <c r="A31" s="970">
        <v>2910</v>
      </c>
      <c r="B31" s="968" t="s">
        <v>696</v>
      </c>
      <c r="C31" s="971">
        <v>1530</v>
      </c>
      <c r="D31" s="971">
        <v>513</v>
      </c>
    </row>
    <row r="32" spans="1:4" s="930" customFormat="1" ht="15">
      <c r="A32" s="967">
        <v>2912</v>
      </c>
      <c r="B32" s="968" t="s">
        <v>697</v>
      </c>
      <c r="C32" s="971">
        <v>1850</v>
      </c>
      <c r="D32" s="971">
        <v>612</v>
      </c>
    </row>
    <row r="33" spans="1:4" ht="15.75">
      <c r="A33" s="808">
        <v>2913</v>
      </c>
      <c r="B33" s="809" t="s">
        <v>698</v>
      </c>
      <c r="C33" s="812">
        <f>D33*D3</f>
        <v>1009.8</v>
      </c>
      <c r="D33" s="572">
        <v>612</v>
      </c>
    </row>
    <row r="34" spans="1:4" s="930" customFormat="1" ht="15">
      <c r="A34" s="967">
        <v>2925</v>
      </c>
      <c r="B34" s="968" t="s">
        <v>699</v>
      </c>
      <c r="C34" s="971">
        <v>1430</v>
      </c>
      <c r="D34" s="971">
        <v>597</v>
      </c>
    </row>
    <row r="35" spans="1:4" s="930" customFormat="1" ht="16.5" customHeight="1">
      <c r="A35" s="967">
        <v>2926</v>
      </c>
      <c r="B35" s="968" t="s">
        <v>3199</v>
      </c>
      <c r="C35" s="971">
        <v>1430</v>
      </c>
      <c r="D35" s="971">
        <v>597</v>
      </c>
    </row>
    <row r="36" spans="1:4" s="930" customFormat="1" ht="15">
      <c r="A36" s="967">
        <v>2927</v>
      </c>
      <c r="B36" s="968" t="s">
        <v>3200</v>
      </c>
      <c r="C36" s="971">
        <v>1430</v>
      </c>
      <c r="D36" s="971">
        <v>597</v>
      </c>
    </row>
    <row r="37" spans="1:4" s="930" customFormat="1" ht="15">
      <c r="A37" s="967">
        <v>2928</v>
      </c>
      <c r="B37" s="968" t="s">
        <v>3201</v>
      </c>
      <c r="C37" s="971">
        <v>1530</v>
      </c>
      <c r="D37" s="971">
        <v>597</v>
      </c>
    </row>
    <row r="38" spans="1:4" ht="15">
      <c r="A38" s="811">
        <v>2929</v>
      </c>
      <c r="B38" s="809" t="s">
        <v>3202</v>
      </c>
      <c r="C38" s="812">
        <f>D38*D3</f>
        <v>985.05</v>
      </c>
      <c r="D38" s="572">
        <v>597</v>
      </c>
    </row>
    <row r="39" spans="1:4" s="930" customFormat="1" ht="15">
      <c r="A39" s="967">
        <v>2930</v>
      </c>
      <c r="B39" s="968" t="s">
        <v>3203</v>
      </c>
      <c r="C39" s="971">
        <v>1530</v>
      </c>
      <c r="D39" s="971">
        <v>712</v>
      </c>
    </row>
    <row r="40" spans="1:4" s="930" customFormat="1" ht="15">
      <c r="A40" s="967">
        <v>2931</v>
      </c>
      <c r="B40" s="968" t="s">
        <v>3204</v>
      </c>
      <c r="C40" s="971">
        <v>1530</v>
      </c>
      <c r="D40" s="971">
        <v>808</v>
      </c>
    </row>
    <row r="41" spans="1:4" s="930" customFormat="1" ht="15">
      <c r="A41" s="967">
        <v>2932</v>
      </c>
      <c r="B41" s="968" t="s">
        <v>3205</v>
      </c>
      <c r="C41" s="971">
        <v>1460</v>
      </c>
      <c r="D41" s="971">
        <v>836</v>
      </c>
    </row>
    <row r="42" spans="1:4" ht="15">
      <c r="A42" s="811">
        <v>2942</v>
      </c>
      <c r="B42" s="809" t="s">
        <v>3206</v>
      </c>
      <c r="C42" s="810">
        <f>D42*D3</f>
        <v>146.85</v>
      </c>
      <c r="D42" s="571">
        <v>89</v>
      </c>
    </row>
    <row r="43" spans="1:4" ht="15">
      <c r="A43" s="811">
        <v>2943</v>
      </c>
      <c r="B43" s="809" t="s">
        <v>3207</v>
      </c>
      <c r="C43" s="810">
        <f>D43*D3</f>
        <v>66</v>
      </c>
      <c r="D43" s="571">
        <v>40</v>
      </c>
    </row>
    <row r="44" spans="1:4" ht="15">
      <c r="A44" s="811">
        <v>2948</v>
      </c>
      <c r="B44" s="809" t="s">
        <v>3208</v>
      </c>
      <c r="C44" s="810">
        <f>D44*D3</f>
        <v>9.28125</v>
      </c>
      <c r="D44" s="571">
        <v>5.625</v>
      </c>
    </row>
    <row r="45" spans="1:4" ht="13.5">
      <c r="A45" s="813">
        <v>3727</v>
      </c>
      <c r="B45" s="814" t="s">
        <v>3209</v>
      </c>
      <c r="C45" s="815">
        <f>D45*D3</f>
        <v>311.84999999999997</v>
      </c>
      <c r="D45" s="574">
        <v>189</v>
      </c>
    </row>
    <row r="46" spans="1:4" ht="13.5">
      <c r="A46" s="813">
        <v>3740</v>
      </c>
      <c r="B46" s="816" t="s">
        <v>3210</v>
      </c>
      <c r="C46" s="815">
        <f>D46*D3</f>
        <v>783.75</v>
      </c>
      <c r="D46" s="574">
        <v>475</v>
      </c>
    </row>
    <row r="47" spans="1:4" ht="13.5">
      <c r="A47" s="813">
        <v>3742</v>
      </c>
      <c r="B47" s="816" t="s">
        <v>3211</v>
      </c>
      <c r="C47" s="815">
        <f>D47*D3</f>
        <v>841.5</v>
      </c>
      <c r="D47" s="574">
        <v>510</v>
      </c>
    </row>
    <row r="48" spans="1:4" ht="13.5">
      <c r="A48" s="813">
        <v>3753</v>
      </c>
      <c r="B48" s="816" t="s">
        <v>3212</v>
      </c>
      <c r="C48" s="815">
        <f>D48*D3</f>
        <v>841.5</v>
      </c>
      <c r="D48" s="574">
        <v>510</v>
      </c>
    </row>
    <row r="49" spans="1:4" ht="13.5">
      <c r="A49" s="813">
        <v>3755</v>
      </c>
      <c r="B49" s="816" t="s">
        <v>3213</v>
      </c>
      <c r="C49" s="815">
        <f>D49*D3</f>
        <v>1758.8999999999999</v>
      </c>
      <c r="D49" s="574">
        <v>1066</v>
      </c>
    </row>
    <row r="50" spans="1:4" ht="13.5">
      <c r="A50" s="813">
        <v>3828</v>
      </c>
      <c r="B50" s="816" t="s">
        <v>3214</v>
      </c>
      <c r="C50" s="815">
        <f>D50*D3</f>
        <v>978.4499999999999</v>
      </c>
      <c r="D50" s="574">
        <v>593</v>
      </c>
    </row>
    <row r="51" spans="1:4" ht="13.5">
      <c r="A51" s="813">
        <v>3829</v>
      </c>
      <c r="B51" s="816" t="s">
        <v>3215</v>
      </c>
      <c r="C51" s="815">
        <f>D51*D3</f>
        <v>1016.4</v>
      </c>
      <c r="D51" s="574">
        <v>616</v>
      </c>
    </row>
    <row r="52" spans="1:4" ht="13.5">
      <c r="A52" s="813">
        <v>3865</v>
      </c>
      <c r="B52" s="817" t="s">
        <v>1336</v>
      </c>
      <c r="C52" s="815">
        <v>335</v>
      </c>
      <c r="D52" s="574">
        <v>335</v>
      </c>
    </row>
    <row r="53" spans="1:4" ht="15.75">
      <c r="A53" s="818">
        <v>3871</v>
      </c>
      <c r="B53" s="816" t="s">
        <v>1337</v>
      </c>
      <c r="C53" s="815">
        <f>D53*D3</f>
        <v>759</v>
      </c>
      <c r="D53" s="574">
        <v>460</v>
      </c>
    </row>
    <row r="54" spans="1:4" ht="13.5">
      <c r="A54" s="813">
        <v>3931</v>
      </c>
      <c r="B54" s="816" t="s">
        <v>1801</v>
      </c>
      <c r="C54" s="815">
        <f>D54*D3</f>
        <v>1496.55</v>
      </c>
      <c r="D54" s="574">
        <v>907</v>
      </c>
    </row>
    <row r="55" spans="1:4" ht="15.75">
      <c r="A55" s="818">
        <v>3933</v>
      </c>
      <c r="B55" s="816" t="s">
        <v>1802</v>
      </c>
      <c r="C55" s="815">
        <f>D55*D3</f>
        <v>2838</v>
      </c>
      <c r="D55" s="574">
        <v>1720</v>
      </c>
    </row>
    <row r="56" spans="1:4" ht="13.5">
      <c r="A56" s="813">
        <v>3934</v>
      </c>
      <c r="B56" s="816" t="s">
        <v>1803</v>
      </c>
      <c r="C56" s="815">
        <f>D56*D3</f>
        <v>554.4</v>
      </c>
      <c r="D56" s="574">
        <v>336</v>
      </c>
    </row>
    <row r="57" spans="1:4" ht="13.5">
      <c r="A57" s="813">
        <v>3939</v>
      </c>
      <c r="B57" s="816" t="s">
        <v>1804</v>
      </c>
      <c r="C57" s="815">
        <f>D57*D3</f>
        <v>537.9</v>
      </c>
      <c r="D57" s="574">
        <v>326</v>
      </c>
    </row>
    <row r="58" spans="1:4" ht="13.5">
      <c r="A58" s="813">
        <v>4000</v>
      </c>
      <c r="B58" s="819"/>
      <c r="C58" s="820"/>
      <c r="D58" s="579"/>
    </row>
    <row r="59" spans="1:4" ht="13.5">
      <c r="A59" s="813">
        <v>4205</v>
      </c>
      <c r="B59" s="816" t="s">
        <v>1805</v>
      </c>
      <c r="C59" s="815">
        <f>D59*D3</f>
        <v>491.7</v>
      </c>
      <c r="D59" s="574">
        <v>298</v>
      </c>
    </row>
    <row r="60" spans="1:4" ht="13.5">
      <c r="A60" s="813">
        <v>4254</v>
      </c>
      <c r="B60" s="816" t="s">
        <v>1806</v>
      </c>
      <c r="C60" s="815">
        <f>D60*D3</f>
        <v>1089</v>
      </c>
      <c r="D60" s="574">
        <v>660</v>
      </c>
    </row>
    <row r="61" spans="1:4" ht="15.75">
      <c r="A61" s="818">
        <v>4302</v>
      </c>
      <c r="B61" s="816" t="s">
        <v>1807</v>
      </c>
      <c r="C61" s="815">
        <f>D61*D3</f>
        <v>132</v>
      </c>
      <c r="D61" s="574">
        <v>80</v>
      </c>
    </row>
    <row r="62" spans="1:4" ht="15.75">
      <c r="A62" s="577">
        <v>4303</v>
      </c>
      <c r="B62" s="575" t="s">
        <v>1808</v>
      </c>
      <c r="C62" s="574">
        <v>164</v>
      </c>
      <c r="D62" s="574">
        <v>164</v>
      </c>
    </row>
    <row r="63" spans="1:4" ht="13.5">
      <c r="A63" s="573">
        <v>4305</v>
      </c>
      <c r="B63" s="575" t="s">
        <v>1809</v>
      </c>
      <c r="C63" s="574">
        <v>80</v>
      </c>
      <c r="D63" s="574">
        <v>80</v>
      </c>
    </row>
    <row r="64" spans="1:4" ht="18" customHeight="1">
      <c r="A64" s="580" t="s">
        <v>1810</v>
      </c>
      <c r="B64" s="581" t="s">
        <v>1811</v>
      </c>
      <c r="C64" s="574">
        <v>50</v>
      </c>
      <c r="D64" s="574">
        <v>50</v>
      </c>
    </row>
    <row r="65" spans="1:4" ht="15.75">
      <c r="A65" s="577">
        <v>4342</v>
      </c>
      <c r="B65" s="582" t="s">
        <v>1812</v>
      </c>
      <c r="C65" s="574">
        <v>230</v>
      </c>
      <c r="D65" s="574">
        <v>230</v>
      </c>
    </row>
    <row r="66" spans="1:4" ht="13.5">
      <c r="A66" s="573">
        <v>4345</v>
      </c>
      <c r="B66" s="575" t="s">
        <v>1813</v>
      </c>
      <c r="C66" s="574">
        <v>235</v>
      </c>
      <c r="D66" s="574">
        <v>235</v>
      </c>
    </row>
    <row r="67" spans="1:4" ht="13.5">
      <c r="A67" s="573">
        <v>4358</v>
      </c>
      <c r="B67" s="575" t="s">
        <v>1814</v>
      </c>
      <c r="C67" s="574">
        <v>690</v>
      </c>
      <c r="D67" s="574">
        <v>690</v>
      </c>
    </row>
    <row r="68" spans="1:4" ht="13.5">
      <c r="A68" s="573">
        <v>4410</v>
      </c>
      <c r="B68" s="575" t="s">
        <v>1815</v>
      </c>
      <c r="C68" s="574">
        <v>29</v>
      </c>
      <c r="D68" s="574">
        <v>29</v>
      </c>
    </row>
    <row r="69" spans="1:4" ht="13.5">
      <c r="A69" s="573">
        <v>4453</v>
      </c>
      <c r="B69" s="575" t="s">
        <v>3230</v>
      </c>
      <c r="C69" s="574">
        <v>114</v>
      </c>
      <c r="D69" s="574">
        <v>114</v>
      </c>
    </row>
    <row r="70" spans="1:4" ht="13.5">
      <c r="A70" s="573">
        <v>4454</v>
      </c>
      <c r="B70" s="583" t="s">
        <v>3231</v>
      </c>
      <c r="C70" s="574">
        <v>114</v>
      </c>
      <c r="D70" s="574">
        <v>114</v>
      </c>
    </row>
    <row r="71" spans="1:4" ht="13.5">
      <c r="A71" s="573">
        <v>4455</v>
      </c>
      <c r="B71" s="575" t="s">
        <v>3232</v>
      </c>
      <c r="C71" s="574">
        <v>162</v>
      </c>
      <c r="D71" s="574">
        <v>162</v>
      </c>
    </row>
    <row r="72" spans="1:4" ht="13.5">
      <c r="A72" s="573">
        <v>4458</v>
      </c>
      <c r="B72" s="582" t="s">
        <v>3233</v>
      </c>
      <c r="C72" s="574">
        <v>162</v>
      </c>
      <c r="D72" s="574">
        <v>162</v>
      </c>
    </row>
    <row r="73" spans="1:4" ht="13.5">
      <c r="A73" s="573">
        <v>4468</v>
      </c>
      <c r="B73" s="575" t="s">
        <v>3234</v>
      </c>
      <c r="C73" s="574">
        <v>220</v>
      </c>
      <c r="D73" s="574">
        <v>220</v>
      </c>
    </row>
    <row r="74" spans="1:4" ht="13.5">
      <c r="A74" s="573">
        <v>4484</v>
      </c>
      <c r="B74" s="575" t="s">
        <v>3235</v>
      </c>
      <c r="C74" s="574">
        <v>121</v>
      </c>
      <c r="D74" s="574">
        <v>121</v>
      </c>
    </row>
    <row r="75" spans="1:4" ht="13.5">
      <c r="A75" s="573">
        <v>4486</v>
      </c>
      <c r="B75" s="582" t="s">
        <v>814</v>
      </c>
      <c r="C75" s="574">
        <v>121</v>
      </c>
      <c r="D75" s="574">
        <v>121</v>
      </c>
    </row>
    <row r="76" spans="1:4" ht="13.5">
      <c r="A76" s="573">
        <v>4488</v>
      </c>
      <c r="B76" s="575" t="s">
        <v>815</v>
      </c>
      <c r="C76" s="574">
        <v>170</v>
      </c>
      <c r="D76" s="574">
        <v>170</v>
      </c>
    </row>
    <row r="77" spans="1:4" ht="15.75">
      <c r="A77" s="577">
        <v>4505</v>
      </c>
      <c r="B77" s="575" t="s">
        <v>816</v>
      </c>
      <c r="C77" s="574">
        <v>26</v>
      </c>
      <c r="D77" s="574">
        <v>26</v>
      </c>
    </row>
    <row r="78" spans="1:4" ht="15.75">
      <c r="A78" s="577">
        <v>4687</v>
      </c>
      <c r="B78" s="575" t="s">
        <v>817</v>
      </c>
      <c r="C78" s="574">
        <v>280</v>
      </c>
      <c r="D78" s="574">
        <v>280</v>
      </c>
    </row>
    <row r="79" spans="1:4" ht="13.5">
      <c r="A79" s="573">
        <v>4883</v>
      </c>
      <c r="B79" s="575" t="s">
        <v>818</v>
      </c>
      <c r="C79" s="574">
        <v>250</v>
      </c>
      <c r="D79" s="574">
        <v>250</v>
      </c>
    </row>
    <row r="80" spans="1:4" ht="15.75">
      <c r="A80" s="577">
        <v>4884</v>
      </c>
      <c r="B80" s="575" t="s">
        <v>819</v>
      </c>
      <c r="C80" s="574">
        <v>219</v>
      </c>
      <c r="D80" s="574">
        <v>219</v>
      </c>
    </row>
    <row r="81" spans="1:4" ht="15.75">
      <c r="A81" s="577">
        <v>4886</v>
      </c>
      <c r="B81" s="575" t="s">
        <v>820</v>
      </c>
      <c r="C81" s="574">
        <v>299</v>
      </c>
      <c r="D81" s="574">
        <v>299</v>
      </c>
    </row>
    <row r="82" spans="1:4" ht="14.25">
      <c r="A82" s="584">
        <v>4888</v>
      </c>
      <c r="B82" s="575" t="s">
        <v>820</v>
      </c>
      <c r="C82" s="574">
        <v>396</v>
      </c>
      <c r="D82" s="574">
        <v>396</v>
      </c>
    </row>
    <row r="83" spans="1:4" ht="13.5">
      <c r="A83" s="573">
        <v>4906</v>
      </c>
      <c r="B83" s="575" t="s">
        <v>821</v>
      </c>
      <c r="C83" s="574">
        <v>24</v>
      </c>
      <c r="D83" s="574">
        <v>24</v>
      </c>
    </row>
    <row r="84" spans="1:4" s="930" customFormat="1" ht="12.75">
      <c r="A84" s="972">
        <v>4908</v>
      </c>
      <c r="B84" s="973" t="s">
        <v>822</v>
      </c>
      <c r="C84" s="974">
        <v>342</v>
      </c>
      <c r="D84" s="974">
        <v>48</v>
      </c>
    </row>
    <row r="85" spans="1:4" ht="13.5">
      <c r="A85" s="573">
        <v>4917</v>
      </c>
      <c r="B85" s="575" t="s">
        <v>823</v>
      </c>
      <c r="C85" s="574">
        <v>119</v>
      </c>
      <c r="D85" s="574">
        <v>119</v>
      </c>
    </row>
    <row r="86" spans="1:4" s="930" customFormat="1" ht="13.5">
      <c r="A86" s="975">
        <v>4926</v>
      </c>
      <c r="B86" s="976" t="s">
        <v>824</v>
      </c>
      <c r="C86" s="974">
        <v>230</v>
      </c>
      <c r="D86" s="974">
        <v>31</v>
      </c>
    </row>
    <row r="87" spans="1:4" ht="15">
      <c r="A87" s="573">
        <v>4935</v>
      </c>
      <c r="B87" s="581" t="s">
        <v>825</v>
      </c>
      <c r="C87" s="579">
        <v>98.6</v>
      </c>
      <c r="D87" s="579">
        <v>98.6</v>
      </c>
    </row>
    <row r="88" spans="1:4" ht="13.5">
      <c r="A88" s="573">
        <v>4938</v>
      </c>
      <c r="B88" s="575" t="s">
        <v>826</v>
      </c>
      <c r="C88" s="574">
        <v>64</v>
      </c>
      <c r="D88" s="574">
        <v>64</v>
      </c>
    </row>
    <row r="89" spans="1:4" ht="15">
      <c r="A89" s="573">
        <v>4939</v>
      </c>
      <c r="B89" s="581" t="s">
        <v>827</v>
      </c>
      <c r="C89" s="574">
        <v>278</v>
      </c>
      <c r="D89" s="574">
        <v>278</v>
      </c>
    </row>
    <row r="90" spans="1:4" ht="13.5">
      <c r="A90" s="573">
        <v>4942</v>
      </c>
      <c r="B90" s="575" t="s">
        <v>828</v>
      </c>
      <c r="C90" s="574">
        <v>92</v>
      </c>
      <c r="D90" s="574">
        <v>92</v>
      </c>
    </row>
    <row r="91" spans="1:4" ht="15.75">
      <c r="A91" s="577">
        <v>4943</v>
      </c>
      <c r="B91" s="575" t="s">
        <v>829</v>
      </c>
      <c r="C91" s="574">
        <v>470</v>
      </c>
      <c r="D91" s="574">
        <v>470</v>
      </c>
    </row>
    <row r="92" spans="1:4" ht="15.75">
      <c r="A92" s="577">
        <v>5000</v>
      </c>
      <c r="B92" s="585"/>
      <c r="C92" s="579"/>
      <c r="D92" s="579"/>
    </row>
    <row r="93" spans="1:4" s="930" customFormat="1" ht="13.5">
      <c r="A93" s="975">
        <v>5205</v>
      </c>
      <c r="B93" s="973" t="s">
        <v>830</v>
      </c>
      <c r="C93" s="974">
        <v>490</v>
      </c>
      <c r="D93" s="974">
        <v>175</v>
      </c>
    </row>
    <row r="94" spans="1:4" s="930" customFormat="1" ht="13.5">
      <c r="A94" s="975">
        <v>5211</v>
      </c>
      <c r="B94" s="973" t="s">
        <v>831</v>
      </c>
      <c r="C94" s="974">
        <v>690</v>
      </c>
      <c r="D94" s="974">
        <v>338</v>
      </c>
    </row>
    <row r="95" spans="1:4" s="930" customFormat="1" ht="15.75">
      <c r="A95" s="977">
        <v>5313</v>
      </c>
      <c r="B95" s="978" t="s">
        <v>3293</v>
      </c>
      <c r="C95" s="974">
        <v>95</v>
      </c>
      <c r="D95" s="974">
        <v>170</v>
      </c>
    </row>
    <row r="96" spans="1:4" s="930" customFormat="1" ht="13.5">
      <c r="A96" s="975">
        <v>5413</v>
      </c>
      <c r="B96" s="979" t="s">
        <v>1499</v>
      </c>
      <c r="C96" s="974">
        <v>198</v>
      </c>
      <c r="D96" s="974">
        <v>235</v>
      </c>
    </row>
    <row r="97" spans="1:4" s="930" customFormat="1" ht="13.5">
      <c r="A97" s="975">
        <v>5414</v>
      </c>
      <c r="B97" s="979" t="s">
        <v>1500</v>
      </c>
      <c r="C97" s="974">
        <v>230</v>
      </c>
      <c r="D97" s="974">
        <v>489</v>
      </c>
    </row>
    <row r="98" spans="1:4" ht="13.5">
      <c r="A98" s="573">
        <v>5491</v>
      </c>
      <c r="B98" s="587" t="s">
        <v>1501</v>
      </c>
      <c r="C98" s="574">
        <v>269</v>
      </c>
      <c r="D98" s="574">
        <v>269</v>
      </c>
    </row>
    <row r="99" spans="1:4" ht="13.5">
      <c r="A99" s="573">
        <v>5595</v>
      </c>
      <c r="B99" s="587" t="s">
        <v>1502</v>
      </c>
      <c r="C99" s="574">
        <v>242</v>
      </c>
      <c r="D99" s="574">
        <v>242</v>
      </c>
    </row>
    <row r="100" spans="1:4" ht="13.5">
      <c r="A100" s="573">
        <v>5616</v>
      </c>
      <c r="B100" s="587" t="s">
        <v>1503</v>
      </c>
      <c r="C100" s="574">
        <v>330</v>
      </c>
      <c r="D100" s="574">
        <v>330</v>
      </c>
    </row>
    <row r="101" spans="1:4" ht="13.5">
      <c r="A101" s="573">
        <v>5717</v>
      </c>
      <c r="B101" s="587" t="s">
        <v>1504</v>
      </c>
      <c r="C101" s="574">
        <v>358</v>
      </c>
      <c r="D101" s="574">
        <v>358</v>
      </c>
    </row>
    <row r="102" spans="1:4" ht="13.5">
      <c r="A102" s="573">
        <v>5778</v>
      </c>
      <c r="B102" s="587" t="s">
        <v>1505</v>
      </c>
      <c r="C102" s="574">
        <v>248</v>
      </c>
      <c r="D102" s="574">
        <v>248</v>
      </c>
    </row>
    <row r="103" spans="1:4" ht="13.5">
      <c r="A103" s="573">
        <v>5795</v>
      </c>
      <c r="B103" s="587" t="s">
        <v>1506</v>
      </c>
      <c r="C103" s="574">
        <v>180</v>
      </c>
      <c r="D103" s="574">
        <v>180</v>
      </c>
    </row>
    <row r="104" spans="1:4" ht="13.5">
      <c r="A104" s="573">
        <v>5806</v>
      </c>
      <c r="B104" s="588" t="s">
        <v>1507</v>
      </c>
      <c r="C104" s="574">
        <v>51</v>
      </c>
      <c r="D104" s="574">
        <v>51</v>
      </c>
    </row>
    <row r="105" spans="1:4" ht="13.5">
      <c r="A105" s="573">
        <v>5838</v>
      </c>
      <c r="B105" s="587" t="s">
        <v>1508</v>
      </c>
      <c r="C105" s="574">
        <v>45</v>
      </c>
      <c r="D105" s="574">
        <v>45</v>
      </c>
    </row>
    <row r="106" spans="1:4" ht="15.75">
      <c r="A106" s="577">
        <v>5840</v>
      </c>
      <c r="B106" s="587" t="s">
        <v>1509</v>
      </c>
      <c r="C106" s="574">
        <v>95</v>
      </c>
      <c r="D106" s="574">
        <v>95</v>
      </c>
    </row>
    <row r="107" spans="1:4" ht="13.5">
      <c r="A107" s="573">
        <v>5981</v>
      </c>
      <c r="B107" s="587" t="s">
        <v>1510</v>
      </c>
      <c r="C107" s="574">
        <v>100</v>
      </c>
      <c r="D107" s="574">
        <v>100</v>
      </c>
    </row>
    <row r="108" spans="1:4" ht="15">
      <c r="A108" s="589"/>
      <c r="B108" s="587" t="s">
        <v>1511</v>
      </c>
      <c r="C108" s="579"/>
      <c r="D108" s="579"/>
    </row>
    <row r="109" spans="1:4" ht="13.5">
      <c r="A109" s="573">
        <v>5982</v>
      </c>
      <c r="B109" s="587" t="s">
        <v>1512</v>
      </c>
      <c r="C109" s="574">
        <v>100</v>
      </c>
      <c r="D109" s="574">
        <v>100</v>
      </c>
    </row>
    <row r="110" spans="1:4" ht="13.5">
      <c r="A110" s="573">
        <v>6000</v>
      </c>
      <c r="B110" s="578"/>
      <c r="C110" s="579"/>
      <c r="D110" s="579"/>
    </row>
    <row r="111" spans="1:4" ht="13.5">
      <c r="A111" s="573">
        <v>6003</v>
      </c>
      <c r="B111" s="590" t="s">
        <v>1513</v>
      </c>
      <c r="C111" s="574">
        <v>408</v>
      </c>
      <c r="D111" s="574">
        <v>408</v>
      </c>
    </row>
    <row r="112" spans="1:4" ht="15">
      <c r="A112" s="573">
        <v>6006</v>
      </c>
      <c r="B112" s="591"/>
      <c r="C112" s="574">
        <v>613</v>
      </c>
      <c r="D112" s="574">
        <v>613</v>
      </c>
    </row>
    <row r="113" spans="1:4" ht="13.5">
      <c r="A113" s="573">
        <v>6081</v>
      </c>
      <c r="B113" s="587" t="s">
        <v>1514</v>
      </c>
      <c r="C113" s="574">
        <v>34</v>
      </c>
      <c r="D113" s="574">
        <v>34</v>
      </c>
    </row>
    <row r="114" spans="1:4" ht="13.5">
      <c r="A114" s="573">
        <v>6110</v>
      </c>
      <c r="B114" s="587" t="s">
        <v>1515</v>
      </c>
      <c r="C114" s="574">
        <v>10.4</v>
      </c>
      <c r="D114" s="574">
        <v>10.4</v>
      </c>
    </row>
    <row r="115" spans="1:4" s="930" customFormat="1" ht="14.25">
      <c r="A115" s="980">
        <v>6156</v>
      </c>
      <c r="B115" s="973" t="s">
        <v>2431</v>
      </c>
      <c r="C115" s="974">
        <v>78</v>
      </c>
      <c r="D115" s="974">
        <v>65</v>
      </c>
    </row>
    <row r="116" spans="1:4" s="930" customFormat="1" ht="15">
      <c r="A116" s="981">
        <v>6158</v>
      </c>
      <c r="B116" s="982" t="s">
        <v>2432</v>
      </c>
      <c r="C116" s="974">
        <v>78</v>
      </c>
      <c r="D116" s="974">
        <v>65</v>
      </c>
    </row>
    <row r="117" spans="1:4" s="930" customFormat="1" ht="12.75">
      <c r="A117" s="981">
        <v>6160</v>
      </c>
      <c r="B117" s="979" t="s">
        <v>2433</v>
      </c>
      <c r="C117" s="974">
        <v>78</v>
      </c>
      <c r="D117" s="974">
        <v>65</v>
      </c>
    </row>
    <row r="118" spans="1:4" s="930" customFormat="1" ht="12.75">
      <c r="A118" s="981">
        <v>6161</v>
      </c>
      <c r="B118" s="979" t="s">
        <v>2434</v>
      </c>
      <c r="C118" s="974">
        <v>78</v>
      </c>
      <c r="D118" s="974">
        <v>65</v>
      </c>
    </row>
    <row r="119" spans="1:4" s="930" customFormat="1" ht="12.75">
      <c r="A119" s="981">
        <v>6162</v>
      </c>
      <c r="B119" s="979" t="s">
        <v>2435</v>
      </c>
      <c r="C119" s="974">
        <v>78</v>
      </c>
      <c r="D119" s="974">
        <v>65</v>
      </c>
    </row>
    <row r="120" spans="1:4" s="930" customFormat="1" ht="12.75">
      <c r="A120" s="981">
        <v>6163</v>
      </c>
      <c r="B120" s="979" t="s">
        <v>2436</v>
      </c>
      <c r="C120" s="974">
        <v>78</v>
      </c>
      <c r="D120" s="974">
        <v>65</v>
      </c>
    </row>
    <row r="121" spans="1:4" s="930" customFormat="1" ht="12.75">
      <c r="A121" s="981">
        <v>6164</v>
      </c>
      <c r="B121" s="979" t="s">
        <v>2437</v>
      </c>
      <c r="C121" s="974">
        <v>95</v>
      </c>
      <c r="D121" s="974">
        <v>65</v>
      </c>
    </row>
    <row r="122" spans="1:4" s="930" customFormat="1" ht="12.75">
      <c r="A122" s="981">
        <v>6165</v>
      </c>
      <c r="B122" s="979" t="s">
        <v>2438</v>
      </c>
      <c r="C122" s="974">
        <v>150</v>
      </c>
      <c r="D122" s="974">
        <v>90</v>
      </c>
    </row>
    <row r="123" spans="1:4" s="930" customFormat="1" ht="12.75">
      <c r="A123" s="981">
        <v>6166</v>
      </c>
      <c r="B123" s="979" t="s">
        <v>2439</v>
      </c>
      <c r="C123" s="974">
        <v>150</v>
      </c>
      <c r="D123" s="974">
        <v>90</v>
      </c>
    </row>
    <row r="124" spans="1:4" ht="15.75">
      <c r="A124" s="573">
        <v>6184</v>
      </c>
      <c r="B124" s="593" t="s">
        <v>947</v>
      </c>
      <c r="C124" s="574">
        <v>17.5</v>
      </c>
      <c r="D124" s="574">
        <v>17.5</v>
      </c>
    </row>
    <row r="125" spans="1:4" ht="13.5">
      <c r="A125" s="573">
        <v>6187</v>
      </c>
      <c r="B125" s="575" t="s">
        <v>948</v>
      </c>
      <c r="C125" s="574">
        <v>2.7</v>
      </c>
      <c r="D125" s="574">
        <v>2.7</v>
      </c>
    </row>
    <row r="126" spans="1:4" ht="13.5">
      <c r="A126" s="573">
        <v>6188</v>
      </c>
      <c r="B126" s="575" t="s">
        <v>949</v>
      </c>
      <c r="C126" s="574">
        <v>4.5</v>
      </c>
      <c r="D126" s="574">
        <v>4.5</v>
      </c>
    </row>
    <row r="127" spans="1:4" ht="13.5">
      <c r="A127" s="573">
        <v>6210</v>
      </c>
      <c r="B127" s="575" t="s">
        <v>950</v>
      </c>
      <c r="C127" s="574">
        <v>20</v>
      </c>
      <c r="D127" s="574">
        <v>20</v>
      </c>
    </row>
    <row r="128" spans="1:4" ht="13.5">
      <c r="A128" s="573">
        <v>6220</v>
      </c>
      <c r="B128" s="575" t="s">
        <v>951</v>
      </c>
      <c r="C128" s="574">
        <v>17</v>
      </c>
      <c r="D128" s="574">
        <v>17</v>
      </c>
    </row>
    <row r="129" spans="1:4" s="930" customFormat="1" ht="13.5">
      <c r="A129" s="975">
        <v>6243</v>
      </c>
      <c r="B129" s="979" t="s">
        <v>952</v>
      </c>
      <c r="C129" s="974">
        <v>190</v>
      </c>
      <c r="D129" s="974">
        <v>156</v>
      </c>
    </row>
    <row r="130" spans="1:4" s="930" customFormat="1" ht="13.5">
      <c r="A130" s="975">
        <v>6244</v>
      </c>
      <c r="B130" s="979" t="s">
        <v>953</v>
      </c>
      <c r="C130" s="974">
        <v>190</v>
      </c>
      <c r="D130" s="974">
        <v>156</v>
      </c>
    </row>
    <row r="131" spans="1:4" s="930" customFormat="1" ht="13.5">
      <c r="A131" s="975">
        <v>6245</v>
      </c>
      <c r="B131" s="979" t="s">
        <v>954</v>
      </c>
      <c r="C131" s="974">
        <v>190</v>
      </c>
      <c r="D131" s="974">
        <v>156</v>
      </c>
    </row>
    <row r="132" spans="1:4" s="930" customFormat="1" ht="13.5">
      <c r="A132" s="975">
        <v>6246</v>
      </c>
      <c r="B132" s="979" t="s">
        <v>955</v>
      </c>
      <c r="C132" s="974">
        <v>190</v>
      </c>
      <c r="D132" s="974">
        <v>156</v>
      </c>
    </row>
    <row r="133" spans="1:4" ht="12.75">
      <c r="A133" s="592">
        <v>6283</v>
      </c>
      <c r="B133" s="587" t="s">
        <v>956</v>
      </c>
      <c r="C133" s="574">
        <v>275</v>
      </c>
      <c r="D133" s="574">
        <v>275</v>
      </c>
    </row>
    <row r="134" spans="1:4" ht="12.75">
      <c r="A134" s="592">
        <v>6285</v>
      </c>
      <c r="B134" s="587" t="s">
        <v>957</v>
      </c>
      <c r="C134" s="574">
        <v>275</v>
      </c>
      <c r="D134" s="574">
        <v>275</v>
      </c>
    </row>
    <row r="135" spans="1:4" s="930" customFormat="1" ht="12.75">
      <c r="A135" s="981">
        <v>6286</v>
      </c>
      <c r="B135" s="979" t="s">
        <v>958</v>
      </c>
      <c r="C135" s="974">
        <v>352</v>
      </c>
      <c r="D135" s="974">
        <v>275</v>
      </c>
    </row>
    <row r="136" spans="1:4" s="930" customFormat="1" ht="12.75">
      <c r="A136" s="983" t="s">
        <v>959</v>
      </c>
      <c r="B136" s="979" t="s">
        <v>960</v>
      </c>
      <c r="C136" s="974">
        <v>352</v>
      </c>
      <c r="D136" s="974">
        <v>275</v>
      </c>
    </row>
    <row r="137" spans="1:4" s="930" customFormat="1" ht="12.75">
      <c r="A137" s="981">
        <v>6288</v>
      </c>
      <c r="B137" s="979" t="s">
        <v>961</v>
      </c>
      <c r="C137" s="974">
        <v>352</v>
      </c>
      <c r="D137" s="974">
        <v>275</v>
      </c>
    </row>
    <row r="138" spans="1:4" s="930" customFormat="1" ht="12.75">
      <c r="A138" s="984" t="s">
        <v>962</v>
      </c>
      <c r="B138" s="985" t="s">
        <v>963</v>
      </c>
      <c r="C138" s="974">
        <v>485</v>
      </c>
      <c r="D138" s="974">
        <v>295</v>
      </c>
    </row>
    <row r="139" spans="1:4" s="930" customFormat="1" ht="12.75">
      <c r="A139" s="986">
        <v>6290</v>
      </c>
      <c r="B139" s="987" t="s">
        <v>964</v>
      </c>
      <c r="C139" s="974">
        <v>585</v>
      </c>
      <c r="D139" s="974">
        <v>356</v>
      </c>
    </row>
    <row r="140" spans="1:4" ht="12.75">
      <c r="A140" s="595">
        <v>6291</v>
      </c>
      <c r="B140" s="588" t="s">
        <v>965</v>
      </c>
      <c r="C140" s="574">
        <v>356</v>
      </c>
      <c r="D140" s="574">
        <v>356</v>
      </c>
    </row>
    <row r="141" spans="1:4" s="930" customFormat="1" ht="12.75">
      <c r="A141" s="986">
        <v>6369</v>
      </c>
      <c r="B141" s="987" t="s">
        <v>966</v>
      </c>
      <c r="C141" s="974">
        <v>90</v>
      </c>
      <c r="D141" s="974">
        <v>78</v>
      </c>
    </row>
    <row r="142" spans="1:4" ht="13.5">
      <c r="A142" s="573">
        <v>6381</v>
      </c>
      <c r="B142" s="588" t="s">
        <v>967</v>
      </c>
      <c r="C142" s="574">
        <v>110</v>
      </c>
      <c r="D142" s="574">
        <v>110</v>
      </c>
    </row>
    <row r="143" spans="1:4" ht="15">
      <c r="A143" s="595">
        <v>6382</v>
      </c>
      <c r="B143" s="596" t="s">
        <v>968</v>
      </c>
      <c r="C143" s="574">
        <v>125</v>
      </c>
      <c r="D143" s="574">
        <v>125</v>
      </c>
    </row>
    <row r="144" spans="1:4" ht="13.5">
      <c r="A144" s="573">
        <v>6410</v>
      </c>
      <c r="B144" s="576" t="s">
        <v>969</v>
      </c>
      <c r="C144" s="574">
        <v>2.8</v>
      </c>
      <c r="D144" s="574">
        <v>2.8</v>
      </c>
    </row>
    <row r="145" spans="1:4" ht="13.5">
      <c r="A145" s="573">
        <v>6440</v>
      </c>
      <c r="B145" s="575" t="s">
        <v>970</v>
      </c>
      <c r="C145" s="574">
        <v>27</v>
      </c>
      <c r="D145" s="574">
        <v>27</v>
      </c>
    </row>
    <row r="146" spans="1:4" ht="13.5">
      <c r="A146" s="573">
        <v>6463</v>
      </c>
      <c r="B146" s="588" t="s">
        <v>971</v>
      </c>
      <c r="C146" s="579">
        <v>399</v>
      </c>
      <c r="D146" s="579">
        <v>399</v>
      </c>
    </row>
    <row r="147" spans="1:4" ht="15">
      <c r="A147" s="597">
        <v>6493</v>
      </c>
      <c r="B147" s="598" t="s">
        <v>1386</v>
      </c>
      <c r="C147" s="574">
        <v>350</v>
      </c>
      <c r="D147" s="574">
        <v>350</v>
      </c>
    </row>
    <row r="148" spans="1:4" ht="15">
      <c r="A148" s="599">
        <v>6494</v>
      </c>
      <c r="B148" s="600" t="s">
        <v>1387</v>
      </c>
      <c r="C148" s="574">
        <v>375</v>
      </c>
      <c r="D148" s="574">
        <v>375</v>
      </c>
    </row>
    <row r="149" spans="1:4" ht="14.25">
      <c r="A149" s="599">
        <v>6495</v>
      </c>
      <c r="B149" s="600" t="s">
        <v>1388</v>
      </c>
      <c r="C149" s="574">
        <v>968</v>
      </c>
      <c r="D149" s="574">
        <v>968</v>
      </c>
    </row>
    <row r="150" spans="1:4" ht="14.25">
      <c r="A150" s="599">
        <v>6496</v>
      </c>
      <c r="B150" s="600" t="s">
        <v>1389</v>
      </c>
      <c r="C150" s="574">
        <v>1100</v>
      </c>
      <c r="D150" s="574">
        <v>1100</v>
      </c>
    </row>
    <row r="151" spans="1:4" s="930" customFormat="1" ht="14.25">
      <c r="A151" s="988">
        <v>6498</v>
      </c>
      <c r="B151" s="989" t="s">
        <v>1390</v>
      </c>
      <c r="C151" s="974">
        <v>3225</v>
      </c>
      <c r="D151" s="974">
        <v>1210</v>
      </c>
    </row>
    <row r="152" spans="1:4" ht="14.25">
      <c r="A152" s="599">
        <v>6625</v>
      </c>
      <c r="B152" s="600" t="s">
        <v>1391</v>
      </c>
      <c r="C152" s="574">
        <v>438</v>
      </c>
      <c r="D152" s="574">
        <v>438</v>
      </c>
    </row>
    <row r="153" spans="1:4" ht="14.25">
      <c r="A153" s="599">
        <v>6626</v>
      </c>
      <c r="B153" s="600" t="s">
        <v>1392</v>
      </c>
      <c r="C153" s="574">
        <v>438</v>
      </c>
      <c r="D153" s="574">
        <v>438</v>
      </c>
    </row>
    <row r="154" spans="1:4" ht="14.25">
      <c r="A154" s="599">
        <v>6680</v>
      </c>
      <c r="B154" s="600" t="s">
        <v>1393</v>
      </c>
      <c r="C154" s="574">
        <v>2205</v>
      </c>
      <c r="D154" s="574">
        <v>2205</v>
      </c>
    </row>
    <row r="155" spans="1:4" ht="14.25">
      <c r="A155" s="599">
        <v>6681</v>
      </c>
      <c r="B155" s="600" t="s">
        <v>1394</v>
      </c>
      <c r="C155" s="574">
        <v>2540</v>
      </c>
      <c r="D155" s="574">
        <v>2540</v>
      </c>
    </row>
    <row r="156" spans="1:4" s="930" customFormat="1" ht="14.25">
      <c r="A156" s="988">
        <v>6682</v>
      </c>
      <c r="B156" s="989" t="s">
        <v>1395</v>
      </c>
      <c r="C156" s="974">
        <v>4800</v>
      </c>
      <c r="D156" s="974">
        <v>2990</v>
      </c>
    </row>
    <row r="157" spans="1:4" ht="14.25">
      <c r="A157" s="599">
        <v>6856</v>
      </c>
      <c r="B157" s="600" t="s">
        <v>1396</v>
      </c>
      <c r="C157" s="574">
        <v>120</v>
      </c>
      <c r="D157" s="574">
        <v>120</v>
      </c>
    </row>
    <row r="158" spans="1:4" ht="14.25">
      <c r="A158" s="599">
        <v>6858</v>
      </c>
      <c r="B158" s="601" t="s">
        <v>766</v>
      </c>
      <c r="C158" s="574">
        <v>120</v>
      </c>
      <c r="D158" s="574">
        <v>120</v>
      </c>
    </row>
    <row r="159" spans="1:4" ht="14.25">
      <c r="A159" s="599">
        <v>6860</v>
      </c>
      <c r="B159" s="600" t="s">
        <v>767</v>
      </c>
      <c r="C159" s="574">
        <v>120</v>
      </c>
      <c r="D159" s="574">
        <v>120</v>
      </c>
    </row>
    <row r="160" spans="1:4" ht="14.25">
      <c r="A160" s="599">
        <v>6861</v>
      </c>
      <c r="B160" s="600" t="s">
        <v>768</v>
      </c>
      <c r="C160" s="574">
        <v>120</v>
      </c>
      <c r="D160" s="574">
        <v>120</v>
      </c>
    </row>
    <row r="161" spans="1:4" ht="14.25">
      <c r="A161" s="599">
        <v>6862</v>
      </c>
      <c r="B161" s="600" t="s">
        <v>769</v>
      </c>
      <c r="C161" s="574">
        <v>120</v>
      </c>
      <c r="D161" s="574">
        <v>120</v>
      </c>
    </row>
    <row r="162" spans="1:4" ht="14.25">
      <c r="A162" s="599">
        <v>6863</v>
      </c>
      <c r="B162" s="600" t="s">
        <v>770</v>
      </c>
      <c r="C162" s="574">
        <v>120</v>
      </c>
      <c r="D162" s="574">
        <v>120</v>
      </c>
    </row>
    <row r="163" spans="1:4" ht="14.25">
      <c r="A163" s="599">
        <v>6864</v>
      </c>
      <c r="B163" s="600" t="s">
        <v>771</v>
      </c>
      <c r="C163" s="574">
        <v>120</v>
      </c>
      <c r="D163" s="574">
        <v>120</v>
      </c>
    </row>
    <row r="164" spans="1:4" ht="15">
      <c r="A164" s="597">
        <v>6865</v>
      </c>
      <c r="B164" s="600" t="s">
        <v>772</v>
      </c>
      <c r="C164" s="574" t="s">
        <v>773</v>
      </c>
      <c r="D164" s="574" t="s">
        <v>773</v>
      </c>
    </row>
    <row r="165" spans="1:4" ht="15">
      <c r="A165" s="602">
        <v>6866</v>
      </c>
      <c r="B165" s="600" t="s">
        <v>1469</v>
      </c>
      <c r="C165" s="574">
        <v>167</v>
      </c>
      <c r="D165" s="574">
        <v>167</v>
      </c>
    </row>
    <row r="166" spans="1:4" ht="14.25">
      <c r="A166" s="599">
        <v>6938</v>
      </c>
      <c r="B166" s="600" t="s">
        <v>1470</v>
      </c>
      <c r="C166" s="574">
        <v>527</v>
      </c>
      <c r="D166" s="574">
        <v>527</v>
      </c>
    </row>
    <row r="167" spans="1:4" ht="14.25">
      <c r="A167" s="603">
        <v>6940</v>
      </c>
      <c r="B167" s="600" t="s">
        <v>1471</v>
      </c>
      <c r="C167" s="574">
        <v>527</v>
      </c>
      <c r="D167" s="574">
        <v>527</v>
      </c>
    </row>
    <row r="168" spans="1:4" ht="14.25">
      <c r="A168" s="603">
        <v>6941</v>
      </c>
      <c r="B168" s="600" t="s">
        <v>1472</v>
      </c>
      <c r="C168" s="574">
        <v>527</v>
      </c>
      <c r="D168" s="574">
        <v>527</v>
      </c>
    </row>
    <row r="169" spans="1:4" ht="14.25">
      <c r="A169" s="603">
        <v>6942</v>
      </c>
      <c r="B169" s="600" t="s">
        <v>1473</v>
      </c>
      <c r="C169" s="574">
        <v>527</v>
      </c>
      <c r="D169" s="574">
        <v>527</v>
      </c>
    </row>
    <row r="170" spans="1:4" ht="14.25">
      <c r="A170" s="603">
        <v>6943</v>
      </c>
      <c r="B170" s="600" t="s">
        <v>1474</v>
      </c>
      <c r="C170" s="574">
        <v>527</v>
      </c>
      <c r="D170" s="574">
        <v>527</v>
      </c>
    </row>
    <row r="171" spans="1:4" ht="14.25">
      <c r="A171" s="603">
        <v>6944</v>
      </c>
      <c r="B171" s="600" t="s">
        <v>1475</v>
      </c>
      <c r="C171" s="574">
        <v>527</v>
      </c>
      <c r="D171" s="574">
        <v>527</v>
      </c>
    </row>
    <row r="172" spans="1:4" ht="14.25">
      <c r="A172" s="603">
        <v>6945</v>
      </c>
      <c r="B172" s="600" t="s">
        <v>1476</v>
      </c>
      <c r="C172" s="574">
        <v>598</v>
      </c>
      <c r="D172" s="574">
        <v>598</v>
      </c>
    </row>
    <row r="173" spans="1:4" ht="14.25">
      <c r="A173" s="603">
        <v>6946</v>
      </c>
      <c r="B173" s="600" t="s">
        <v>1477</v>
      </c>
      <c r="C173" s="574">
        <v>612</v>
      </c>
      <c r="D173" s="574">
        <v>612</v>
      </c>
    </row>
    <row r="174" spans="1:4" ht="14.25">
      <c r="A174" s="603">
        <v>8927</v>
      </c>
      <c r="B174" s="600" t="s">
        <v>1478</v>
      </c>
      <c r="C174" s="574">
        <v>366</v>
      </c>
      <c r="D174" s="574">
        <v>366</v>
      </c>
    </row>
    <row r="175" spans="1:4" ht="14.25">
      <c r="A175" s="603">
        <v>9011</v>
      </c>
      <c r="B175" s="600" t="s">
        <v>1479</v>
      </c>
      <c r="C175" s="574">
        <v>667</v>
      </c>
      <c r="D175" s="574">
        <v>667</v>
      </c>
    </row>
    <row r="176" spans="1:4" ht="14.25">
      <c r="A176" s="599">
        <v>10000</v>
      </c>
      <c r="B176" s="600"/>
      <c r="C176" s="579"/>
      <c r="D176" s="579"/>
    </row>
    <row r="177" spans="1:4" ht="14.25">
      <c r="A177" s="599">
        <v>10412</v>
      </c>
      <c r="B177" s="600" t="s">
        <v>1480</v>
      </c>
      <c r="C177" s="574">
        <v>101.4</v>
      </c>
      <c r="D177" s="574">
        <v>101.4</v>
      </c>
    </row>
    <row r="178" spans="1:4" ht="14.25">
      <c r="A178" s="599">
        <v>10422</v>
      </c>
      <c r="B178" s="600" t="s">
        <v>1481</v>
      </c>
      <c r="C178" s="574">
        <v>129.6</v>
      </c>
      <c r="D178" s="574">
        <v>129.6</v>
      </c>
    </row>
    <row r="179" spans="1:4" s="930" customFormat="1" ht="14.25">
      <c r="A179" s="988">
        <v>10521</v>
      </c>
      <c r="B179" s="989" t="s">
        <v>1482</v>
      </c>
      <c r="C179" s="974">
        <v>10</v>
      </c>
      <c r="D179" s="974">
        <v>33.9</v>
      </c>
    </row>
    <row r="180" spans="1:4" s="930" customFormat="1" ht="15">
      <c r="A180" s="988">
        <v>10522</v>
      </c>
      <c r="B180" s="982" t="s">
        <v>1483</v>
      </c>
      <c r="C180" s="974">
        <v>12</v>
      </c>
      <c r="D180" s="974">
        <v>38.4</v>
      </c>
    </row>
    <row r="181" spans="1:4" ht="14.25">
      <c r="A181" s="599">
        <v>10582</v>
      </c>
      <c r="B181" s="600" t="s">
        <v>1484</v>
      </c>
      <c r="C181" s="574">
        <v>30.25</v>
      </c>
      <c r="D181" s="574">
        <v>30.25</v>
      </c>
    </row>
    <row r="182" spans="1:4" ht="14.25">
      <c r="A182" s="599">
        <v>10602</v>
      </c>
      <c r="B182" s="600" t="s">
        <v>1485</v>
      </c>
      <c r="C182" s="574">
        <v>51.6</v>
      </c>
      <c r="D182" s="574">
        <v>51.6</v>
      </c>
    </row>
    <row r="183" spans="1:4" ht="14.25">
      <c r="A183" s="599">
        <v>10622</v>
      </c>
      <c r="B183" s="600" t="s">
        <v>1486</v>
      </c>
      <c r="C183" s="574">
        <v>68.8</v>
      </c>
      <c r="D183" s="574">
        <v>68.8</v>
      </c>
    </row>
    <row r="184" spans="1:4" ht="14.25">
      <c r="A184" s="599" t="s">
        <v>1487</v>
      </c>
      <c r="B184" s="600" t="s">
        <v>1488</v>
      </c>
      <c r="C184" s="574">
        <v>92.9</v>
      </c>
      <c r="D184" s="574">
        <v>92.9</v>
      </c>
    </row>
    <row r="185" spans="1:4" ht="14.25">
      <c r="A185" s="599">
        <v>10692</v>
      </c>
      <c r="B185" s="600" t="s">
        <v>1489</v>
      </c>
      <c r="C185" s="574">
        <v>10.25</v>
      </c>
      <c r="D185" s="574">
        <v>10.25</v>
      </c>
    </row>
    <row r="186" spans="1:4" ht="14.25">
      <c r="A186" s="599">
        <v>10702</v>
      </c>
      <c r="B186" s="600" t="s">
        <v>1490</v>
      </c>
      <c r="C186" s="574">
        <v>16.3</v>
      </c>
      <c r="D186" s="574">
        <v>16.3</v>
      </c>
    </row>
    <row r="187" spans="1:4" ht="14.25">
      <c r="A187" s="599">
        <v>10722</v>
      </c>
      <c r="B187" s="600" t="s">
        <v>1490</v>
      </c>
      <c r="C187" s="574">
        <v>22.3</v>
      </c>
      <c r="D187" s="574">
        <v>22.3</v>
      </c>
    </row>
    <row r="188" spans="1:4" ht="14.25">
      <c r="A188" s="599">
        <v>10732</v>
      </c>
      <c r="B188" s="600" t="s">
        <v>1491</v>
      </c>
      <c r="C188" s="574">
        <v>146.4</v>
      </c>
      <c r="D188" s="574">
        <v>146.4</v>
      </c>
    </row>
    <row r="189" spans="1:4" ht="14.25">
      <c r="A189" s="599">
        <v>10801</v>
      </c>
      <c r="B189" s="600" t="s">
        <v>1492</v>
      </c>
      <c r="C189" s="574">
        <v>14.3</v>
      </c>
      <c r="D189" s="574">
        <v>14.3</v>
      </c>
    </row>
    <row r="190" spans="1:4" ht="14.25">
      <c r="A190" s="599">
        <v>10802</v>
      </c>
      <c r="B190" s="600" t="s">
        <v>1492</v>
      </c>
      <c r="C190" s="574">
        <v>15</v>
      </c>
      <c r="D190" s="574">
        <v>15</v>
      </c>
    </row>
    <row r="191" spans="1:4" ht="14.25">
      <c r="A191" s="599">
        <v>10921</v>
      </c>
      <c r="B191" s="600" t="s">
        <v>1493</v>
      </c>
      <c r="C191" s="574">
        <v>17.3</v>
      </c>
      <c r="D191" s="574">
        <v>17.3</v>
      </c>
    </row>
    <row r="192" spans="1:4" ht="14.25">
      <c r="A192" s="599">
        <v>10922</v>
      </c>
      <c r="B192" s="600" t="s">
        <v>1494</v>
      </c>
      <c r="C192" s="574">
        <v>18.7</v>
      </c>
      <c r="D192" s="574">
        <v>18.7</v>
      </c>
    </row>
    <row r="193" spans="1:4" ht="14.25">
      <c r="A193" s="599">
        <v>10941</v>
      </c>
      <c r="B193" s="600" t="s">
        <v>1495</v>
      </c>
      <c r="C193" s="574">
        <v>35.4</v>
      </c>
      <c r="D193" s="574">
        <v>35.4</v>
      </c>
    </row>
    <row r="194" spans="1:4" ht="14.25">
      <c r="A194" s="599">
        <v>10942</v>
      </c>
      <c r="B194" s="600" t="s">
        <v>1495</v>
      </c>
      <c r="C194" s="574">
        <v>35.4</v>
      </c>
      <c r="D194" s="574">
        <v>35.4</v>
      </c>
    </row>
    <row r="195" spans="1:4" ht="15">
      <c r="A195" s="602">
        <v>0.12004</v>
      </c>
      <c r="B195" s="600" t="s">
        <v>1496</v>
      </c>
      <c r="C195" s="574">
        <v>7.5</v>
      </c>
      <c r="D195" s="574">
        <v>7.5</v>
      </c>
    </row>
    <row r="196" spans="1:4" ht="15">
      <c r="A196" s="602">
        <v>12006</v>
      </c>
      <c r="B196" s="600" t="s">
        <v>1497</v>
      </c>
      <c r="C196" s="579">
        <v>7.5</v>
      </c>
      <c r="D196" s="579">
        <v>7.5</v>
      </c>
    </row>
    <row r="197" spans="1:4" ht="15">
      <c r="A197" s="604"/>
      <c r="B197" s="600" t="s">
        <v>1498</v>
      </c>
      <c r="C197" s="579">
        <v>7.5</v>
      </c>
      <c r="D197" s="579">
        <v>7.5</v>
      </c>
    </row>
    <row r="198" spans="1:4" ht="14.25">
      <c r="A198" s="605"/>
      <c r="B198" s="606"/>
      <c r="C198" s="607"/>
      <c r="D198" s="607"/>
    </row>
    <row r="199" spans="1:4" ht="12.75">
      <c r="A199" s="608"/>
      <c r="B199" s="517"/>
      <c r="C199" s="607"/>
      <c r="D199" s="607"/>
    </row>
    <row r="200" spans="1:4" ht="13.5">
      <c r="A200" s="609">
        <v>12302</v>
      </c>
      <c r="B200" s="575" t="s">
        <v>836</v>
      </c>
      <c r="C200" s="574">
        <v>8</v>
      </c>
      <c r="D200" s="574">
        <v>8</v>
      </c>
    </row>
    <row r="201" spans="1:4" ht="13.5">
      <c r="A201" s="609">
        <v>12304</v>
      </c>
      <c r="B201" s="575" t="s">
        <v>837</v>
      </c>
      <c r="C201" s="574">
        <v>8</v>
      </c>
      <c r="D201" s="574">
        <v>8</v>
      </c>
    </row>
    <row r="202" spans="1:4" ht="13.5">
      <c r="A202" s="609">
        <v>12306</v>
      </c>
      <c r="B202" s="610" t="s">
        <v>838</v>
      </c>
      <c r="C202" s="574">
        <v>8</v>
      </c>
      <c r="D202" s="574">
        <v>8</v>
      </c>
    </row>
    <row r="203" spans="1:4" ht="13.5">
      <c r="A203" s="609">
        <v>12316</v>
      </c>
      <c r="B203" s="575" t="s">
        <v>839</v>
      </c>
      <c r="C203" s="574">
        <v>8</v>
      </c>
      <c r="D203" s="574">
        <v>8</v>
      </c>
    </row>
    <row r="204" spans="1:4" ht="13.5">
      <c r="A204" s="611">
        <v>-13000</v>
      </c>
      <c r="B204" s="612"/>
      <c r="C204" s="579"/>
      <c r="D204" s="579"/>
    </row>
    <row r="205" spans="1:4" ht="13.5">
      <c r="A205" s="613">
        <v>13002</v>
      </c>
      <c r="B205" s="575" t="s">
        <v>840</v>
      </c>
      <c r="C205" s="574">
        <v>8</v>
      </c>
      <c r="D205" s="574">
        <v>8</v>
      </c>
    </row>
    <row r="206" spans="1:4" ht="13.5">
      <c r="A206" s="613">
        <v>13004</v>
      </c>
      <c r="B206" s="612" t="s">
        <v>841</v>
      </c>
      <c r="C206" s="574">
        <v>8</v>
      </c>
      <c r="D206" s="574">
        <v>8</v>
      </c>
    </row>
    <row r="207" spans="1:4" ht="13.5">
      <c r="A207" s="613">
        <v>13006</v>
      </c>
      <c r="B207" s="612" t="s">
        <v>842</v>
      </c>
      <c r="C207" s="574">
        <v>8</v>
      </c>
      <c r="D207" s="574">
        <v>8</v>
      </c>
    </row>
    <row r="208" spans="1:4" ht="13.5">
      <c r="A208" s="613">
        <v>13010</v>
      </c>
      <c r="B208" s="610" t="s">
        <v>843</v>
      </c>
      <c r="C208" s="574">
        <v>8</v>
      </c>
      <c r="D208" s="574">
        <v>8</v>
      </c>
    </row>
    <row r="209" spans="1:4" ht="13.5">
      <c r="A209" s="613">
        <v>13016</v>
      </c>
      <c r="B209" s="610" t="s">
        <v>844</v>
      </c>
      <c r="C209" s="574">
        <v>8</v>
      </c>
      <c r="D209" s="574">
        <v>8</v>
      </c>
    </row>
    <row r="210" spans="1:4" ht="13.5">
      <c r="A210" s="613">
        <v>13302</v>
      </c>
      <c r="B210" s="575" t="s">
        <v>845</v>
      </c>
      <c r="C210" s="574">
        <v>8</v>
      </c>
      <c r="D210" s="574">
        <v>8</v>
      </c>
    </row>
    <row r="211" spans="1:4" ht="13.5">
      <c r="A211" s="613">
        <v>13304</v>
      </c>
      <c r="B211" s="575" t="s">
        <v>846</v>
      </c>
      <c r="C211" s="574">
        <v>8</v>
      </c>
      <c r="D211" s="574">
        <v>8</v>
      </c>
    </row>
    <row r="212" spans="1:4" ht="13.5">
      <c r="A212" s="613">
        <v>13306</v>
      </c>
      <c r="B212" s="610" t="s">
        <v>847</v>
      </c>
      <c r="C212" s="574">
        <v>8</v>
      </c>
      <c r="D212" s="574">
        <v>8</v>
      </c>
    </row>
    <row r="213" spans="1:4" ht="13.5">
      <c r="A213" s="613">
        <v>13310</v>
      </c>
      <c r="B213" s="610" t="s">
        <v>848</v>
      </c>
      <c r="C213" s="574">
        <v>8</v>
      </c>
      <c r="D213" s="574">
        <v>8</v>
      </c>
    </row>
    <row r="214" spans="1:4" ht="13.5">
      <c r="A214" s="613">
        <v>13316</v>
      </c>
      <c r="B214" s="610" t="s">
        <v>849</v>
      </c>
      <c r="C214" s="574">
        <v>8</v>
      </c>
      <c r="D214" s="574">
        <v>8</v>
      </c>
    </row>
    <row r="215" spans="1:4" ht="13.5">
      <c r="A215" s="613">
        <v>13320</v>
      </c>
      <c r="B215" s="610" t="s">
        <v>850</v>
      </c>
      <c r="C215" s="574">
        <v>8</v>
      </c>
      <c r="D215" s="574">
        <v>8</v>
      </c>
    </row>
    <row r="216" spans="1:4" ht="13.5">
      <c r="A216" s="613">
        <v>13325</v>
      </c>
      <c r="B216" s="610" t="s">
        <v>851</v>
      </c>
      <c r="C216" s="574">
        <v>8</v>
      </c>
      <c r="D216" s="574">
        <v>8</v>
      </c>
    </row>
    <row r="217" spans="1:4" ht="13.5">
      <c r="A217" s="613">
        <v>14000</v>
      </c>
      <c r="B217" s="614"/>
      <c r="C217" s="579"/>
      <c r="D217" s="579"/>
    </row>
    <row r="218" spans="1:4" ht="13.5">
      <c r="A218" s="613">
        <v>14332</v>
      </c>
      <c r="B218" s="575" t="s">
        <v>852</v>
      </c>
      <c r="C218" s="574">
        <v>12</v>
      </c>
      <c r="D218" s="574">
        <v>12</v>
      </c>
    </row>
    <row r="219" spans="1:4" ht="13.5">
      <c r="A219" s="613">
        <v>14340</v>
      </c>
      <c r="B219" s="575" t="s">
        <v>853</v>
      </c>
      <c r="C219" s="574">
        <v>12</v>
      </c>
      <c r="D219" s="574">
        <v>12</v>
      </c>
    </row>
    <row r="220" spans="1:4" ht="13.5">
      <c r="A220" s="613">
        <v>14350</v>
      </c>
      <c r="B220" s="575" t="s">
        <v>854</v>
      </c>
      <c r="C220" s="574">
        <v>12</v>
      </c>
      <c r="D220" s="574">
        <v>12</v>
      </c>
    </row>
    <row r="221" spans="1:4" ht="13.5">
      <c r="A221" s="613">
        <v>14520</v>
      </c>
      <c r="B221" s="575" t="s">
        <v>855</v>
      </c>
      <c r="C221" s="574">
        <v>41.2</v>
      </c>
      <c r="D221" s="574">
        <v>41.2</v>
      </c>
    </row>
    <row r="222" spans="1:4" ht="12.75">
      <c r="A222" s="615">
        <v>15000</v>
      </c>
      <c r="B222" s="616"/>
      <c r="C222" s="579"/>
      <c r="D222" s="579"/>
    </row>
    <row r="223" spans="1:4" ht="12.75">
      <c r="A223" s="615">
        <v>15050</v>
      </c>
      <c r="B223" s="576" t="s">
        <v>856</v>
      </c>
      <c r="C223" s="574">
        <v>26</v>
      </c>
      <c r="D223" s="574">
        <v>26</v>
      </c>
    </row>
    <row r="224" spans="1:4" ht="13.5">
      <c r="A224" s="613">
        <v>15363</v>
      </c>
      <c r="B224" s="575" t="s">
        <v>857</v>
      </c>
      <c r="C224" s="574">
        <v>33</v>
      </c>
      <c r="D224" s="574">
        <v>33</v>
      </c>
    </row>
    <row r="225" spans="1:4" ht="13.5">
      <c r="A225" s="613">
        <v>15380</v>
      </c>
      <c r="B225" s="575" t="s">
        <v>858</v>
      </c>
      <c r="C225" s="574">
        <v>33</v>
      </c>
      <c r="D225" s="574">
        <v>33</v>
      </c>
    </row>
    <row r="226" spans="1:4" ht="13.5">
      <c r="A226" s="613">
        <v>15396</v>
      </c>
      <c r="B226" s="575" t="s">
        <v>859</v>
      </c>
      <c r="C226" s="574">
        <v>31.05</v>
      </c>
      <c r="D226" s="574">
        <v>31.05</v>
      </c>
    </row>
    <row r="227" spans="1:4" ht="13.5">
      <c r="A227" s="613">
        <v>15397</v>
      </c>
      <c r="B227" s="575" t="s">
        <v>860</v>
      </c>
      <c r="C227" s="574">
        <v>31.05</v>
      </c>
      <c r="D227" s="574">
        <v>31.05</v>
      </c>
    </row>
    <row r="228" spans="1:4" ht="13.5">
      <c r="A228" s="613">
        <v>15580</v>
      </c>
      <c r="B228" s="575" t="s">
        <v>2772</v>
      </c>
      <c r="C228" s="574">
        <v>77.9</v>
      </c>
      <c r="D228" s="574">
        <v>77.9</v>
      </c>
    </row>
    <row r="229" spans="1:4" ht="13.5">
      <c r="A229" s="613">
        <v>15597</v>
      </c>
      <c r="B229" s="575" t="s">
        <v>2773</v>
      </c>
      <c r="C229" s="574">
        <v>74</v>
      </c>
      <c r="D229" s="574">
        <v>74</v>
      </c>
    </row>
    <row r="230" spans="1:4" ht="13.5">
      <c r="A230" s="613">
        <v>16005</v>
      </c>
      <c r="B230" s="575" t="s">
        <v>2774</v>
      </c>
      <c r="C230" s="574">
        <v>179</v>
      </c>
      <c r="D230" s="574">
        <v>179</v>
      </c>
    </row>
    <row r="231" spans="1:4" ht="13.5">
      <c r="A231" s="613">
        <v>16040</v>
      </c>
      <c r="B231" s="575" t="s">
        <v>2775</v>
      </c>
      <c r="C231" s="574">
        <v>81</v>
      </c>
      <c r="D231" s="574">
        <v>81</v>
      </c>
    </row>
    <row r="232" spans="1:4" ht="13.5">
      <c r="A232" s="613">
        <v>16045</v>
      </c>
      <c r="B232" s="575" t="s">
        <v>2776</v>
      </c>
      <c r="C232" s="574">
        <v>83.5</v>
      </c>
      <c r="D232" s="574">
        <v>83.5</v>
      </c>
    </row>
    <row r="233" spans="1:4" ht="13.5">
      <c r="A233" s="613">
        <v>16503</v>
      </c>
      <c r="B233" s="575" t="s">
        <v>2777</v>
      </c>
      <c r="C233" s="574">
        <v>398</v>
      </c>
      <c r="D233" s="574">
        <v>398</v>
      </c>
    </row>
    <row r="234" spans="1:4" ht="13.5">
      <c r="A234" s="613">
        <v>16855</v>
      </c>
      <c r="B234" s="575" t="s">
        <v>2778</v>
      </c>
      <c r="C234" s="574">
        <v>105.7</v>
      </c>
      <c r="D234" s="574">
        <v>105.7</v>
      </c>
    </row>
    <row r="235" spans="1:4" ht="13.5">
      <c r="A235" s="613">
        <v>17003</v>
      </c>
      <c r="B235" s="576" t="s">
        <v>2779</v>
      </c>
      <c r="C235" s="574">
        <v>527</v>
      </c>
      <c r="D235" s="574">
        <v>527</v>
      </c>
    </row>
    <row r="236" spans="1:4" ht="13.5">
      <c r="A236" s="613">
        <v>17365</v>
      </c>
      <c r="B236" s="576" t="s">
        <v>2780</v>
      </c>
      <c r="C236" s="574">
        <v>147</v>
      </c>
      <c r="D236" s="574">
        <v>147</v>
      </c>
    </row>
    <row r="237" spans="1:4" ht="13.5">
      <c r="A237" s="613">
        <v>17503</v>
      </c>
      <c r="B237" s="575" t="s">
        <v>2781</v>
      </c>
      <c r="C237" s="574">
        <v>828</v>
      </c>
      <c r="D237" s="574">
        <v>828</v>
      </c>
    </row>
    <row r="238" spans="1:4" ht="13.5">
      <c r="A238" s="613">
        <v>18100</v>
      </c>
      <c r="B238" s="575" t="s">
        <v>2782</v>
      </c>
      <c r="C238" s="574">
        <v>398</v>
      </c>
      <c r="D238" s="574">
        <v>398</v>
      </c>
    </row>
    <row r="239" spans="1:4" ht="13.5">
      <c r="A239" s="613">
        <v>18125</v>
      </c>
      <c r="B239" s="575" t="s">
        <v>2783</v>
      </c>
      <c r="C239" s="574">
        <v>344</v>
      </c>
      <c r="D239" s="574">
        <v>344</v>
      </c>
    </row>
    <row r="240" spans="1:4" ht="13.5">
      <c r="A240" s="613">
        <v>18435</v>
      </c>
      <c r="B240" s="575" t="s">
        <v>2784</v>
      </c>
      <c r="C240" s="574">
        <v>650</v>
      </c>
      <c r="D240" s="574">
        <v>650</v>
      </c>
    </row>
    <row r="241" spans="1:4" ht="13.5">
      <c r="A241" s="613">
        <v>19902</v>
      </c>
      <c r="B241" s="576" t="s">
        <v>2785</v>
      </c>
      <c r="C241" s="574">
        <v>243</v>
      </c>
      <c r="D241" s="574">
        <v>243</v>
      </c>
    </row>
    <row r="242" spans="1:4" ht="13.5">
      <c r="A242" s="613">
        <v>20000</v>
      </c>
      <c r="B242" s="576"/>
      <c r="C242" s="579"/>
      <c r="D242" s="579"/>
    </row>
    <row r="243" spans="1:4" ht="13.5">
      <c r="A243" s="609">
        <v>21501</v>
      </c>
      <c r="B243" s="576" t="s">
        <v>2786</v>
      </c>
      <c r="C243" s="574">
        <v>92</v>
      </c>
      <c r="D243" s="574">
        <v>92</v>
      </c>
    </row>
    <row r="244" spans="1:4" ht="13.5">
      <c r="A244" s="609">
        <v>21504</v>
      </c>
      <c r="B244" s="575" t="s">
        <v>2787</v>
      </c>
      <c r="C244" s="574">
        <v>260</v>
      </c>
      <c r="D244" s="574">
        <v>260</v>
      </c>
    </row>
    <row r="245" spans="1:4" ht="13.5">
      <c r="A245" s="609">
        <v>21604</v>
      </c>
      <c r="B245" s="575" t="s">
        <v>2788</v>
      </c>
      <c r="C245" s="574">
        <v>340</v>
      </c>
      <c r="D245" s="574">
        <v>340</v>
      </c>
    </row>
    <row r="246" spans="1:4" ht="13.5">
      <c r="A246" s="609">
        <v>22515</v>
      </c>
      <c r="B246" s="575" t="s">
        <v>2789</v>
      </c>
      <c r="C246" s="574">
        <v>747</v>
      </c>
      <c r="D246" s="574">
        <v>747</v>
      </c>
    </row>
    <row r="247" spans="1:4" ht="13.5">
      <c r="A247" s="609">
        <v>22525</v>
      </c>
      <c r="B247" s="575" t="s">
        <v>2790</v>
      </c>
      <c r="C247" s="574">
        <v>790</v>
      </c>
      <c r="D247" s="574">
        <v>790</v>
      </c>
    </row>
    <row r="248" spans="1:4" ht="13.5">
      <c r="A248" s="609">
        <v>22530</v>
      </c>
      <c r="B248" s="575" t="s">
        <v>2791</v>
      </c>
      <c r="C248" s="574" t="s">
        <v>2792</v>
      </c>
      <c r="D248" s="574" t="s">
        <v>2792</v>
      </c>
    </row>
    <row r="249" spans="1:4" ht="13.5">
      <c r="A249" s="609">
        <v>22535</v>
      </c>
      <c r="B249" s="617" t="s">
        <v>1383</v>
      </c>
      <c r="C249" s="574" t="s">
        <v>1384</v>
      </c>
      <c r="D249" s="574" t="s">
        <v>1384</v>
      </c>
    </row>
    <row r="250" spans="1:4" ht="13.5">
      <c r="A250" s="609">
        <v>22537</v>
      </c>
      <c r="B250" s="575" t="s">
        <v>1385</v>
      </c>
      <c r="C250" s="574" t="s">
        <v>2324</v>
      </c>
      <c r="D250" s="574" t="s">
        <v>2324</v>
      </c>
    </row>
    <row r="251" spans="1:4" ht="12.75">
      <c r="A251" s="618">
        <v>22539</v>
      </c>
      <c r="B251" s="576" t="s">
        <v>3317</v>
      </c>
      <c r="C251" s="574" t="s">
        <v>2324</v>
      </c>
      <c r="D251" s="574" t="s">
        <v>2324</v>
      </c>
    </row>
    <row r="252" spans="1:4" ht="13.5">
      <c r="A252" s="619">
        <v>22540</v>
      </c>
      <c r="B252" s="620" t="s">
        <v>3318</v>
      </c>
      <c r="C252" s="574" t="s">
        <v>3319</v>
      </c>
      <c r="D252" s="574" t="s">
        <v>3319</v>
      </c>
    </row>
    <row r="253" spans="1:4" ht="13.5">
      <c r="A253" s="613">
        <v>22545</v>
      </c>
      <c r="B253" s="621" t="s">
        <v>3320</v>
      </c>
      <c r="C253" s="574" t="s">
        <v>3321</v>
      </c>
      <c r="D253" s="574" t="s">
        <v>3321</v>
      </c>
    </row>
    <row r="254" spans="1:4" ht="13.5">
      <c r="A254" s="622">
        <v>22550</v>
      </c>
      <c r="B254" s="575" t="s">
        <v>3322</v>
      </c>
      <c r="C254" s="574" t="s">
        <v>2325</v>
      </c>
      <c r="D254" s="574" t="s">
        <v>2325</v>
      </c>
    </row>
    <row r="255" spans="1:4" ht="12.75">
      <c r="A255" s="615">
        <v>22736</v>
      </c>
      <c r="B255" s="575" t="s">
        <v>3323</v>
      </c>
      <c r="C255" s="574">
        <v>332</v>
      </c>
      <c r="D255" s="574">
        <v>332</v>
      </c>
    </row>
    <row r="256" spans="1:4" ht="12.75">
      <c r="A256" s="615">
        <v>22746</v>
      </c>
      <c r="B256" s="575" t="s">
        <v>3324</v>
      </c>
      <c r="C256" s="574">
        <v>49</v>
      </c>
      <c r="D256" s="574">
        <v>49</v>
      </c>
    </row>
    <row r="257" spans="1:4" ht="12.75">
      <c r="A257" s="615">
        <v>22747</v>
      </c>
      <c r="B257" s="621" t="s">
        <v>3325</v>
      </c>
      <c r="C257" s="574">
        <v>50</v>
      </c>
      <c r="D257" s="574">
        <v>50</v>
      </c>
    </row>
    <row r="258" spans="1:4" ht="13.5">
      <c r="A258" s="613">
        <v>22749</v>
      </c>
      <c r="B258" s="576" t="s">
        <v>3326</v>
      </c>
      <c r="C258" s="574">
        <v>74</v>
      </c>
      <c r="D258" s="574">
        <v>74</v>
      </c>
    </row>
    <row r="259" spans="1:4" ht="15.75">
      <c r="A259" s="623">
        <v>22751</v>
      </c>
      <c r="B259" s="621" t="s">
        <v>3327</v>
      </c>
      <c r="C259" s="574">
        <v>167</v>
      </c>
      <c r="D259" s="574">
        <v>167</v>
      </c>
    </row>
    <row r="260" spans="1:4" ht="13.5">
      <c r="A260" s="613">
        <v>24503</v>
      </c>
      <c r="B260" s="575" t="s">
        <v>3328</v>
      </c>
      <c r="C260" s="574">
        <v>45</v>
      </c>
      <c r="D260" s="574">
        <v>45</v>
      </c>
    </row>
    <row r="261" spans="1:4" ht="15.75">
      <c r="A261" s="623">
        <v>24504</v>
      </c>
      <c r="B261" s="576" t="s">
        <v>3329</v>
      </c>
      <c r="C261" s="574">
        <v>45</v>
      </c>
      <c r="D261" s="574">
        <v>45</v>
      </c>
    </row>
    <row r="262" spans="1:4" ht="15.75">
      <c r="A262" s="623">
        <v>24553</v>
      </c>
      <c r="B262" s="575" t="s">
        <v>3330</v>
      </c>
      <c r="C262" s="574">
        <v>104</v>
      </c>
      <c r="D262" s="574">
        <v>104</v>
      </c>
    </row>
    <row r="263" spans="1:4" ht="13.5">
      <c r="A263" s="613">
        <v>24563</v>
      </c>
      <c r="B263" s="575" t="s">
        <v>3331</v>
      </c>
      <c r="C263" s="574">
        <v>100</v>
      </c>
      <c r="D263" s="574">
        <v>100</v>
      </c>
    </row>
    <row r="264" spans="1:4" ht="13.5">
      <c r="A264" s="613">
        <v>24723</v>
      </c>
      <c r="B264" s="575" t="s">
        <v>3332</v>
      </c>
      <c r="C264" s="574">
        <v>38</v>
      </c>
      <c r="D264" s="574">
        <v>38</v>
      </c>
    </row>
    <row r="265" spans="1:4" ht="15.75">
      <c r="A265" s="623">
        <v>24724</v>
      </c>
      <c r="B265" s="576" t="s">
        <v>3333</v>
      </c>
      <c r="C265" s="574">
        <v>38</v>
      </c>
      <c r="D265" s="574">
        <v>38</v>
      </c>
    </row>
    <row r="266" spans="1:4" ht="15.75">
      <c r="A266" s="623">
        <v>24725</v>
      </c>
      <c r="B266" s="581" t="s">
        <v>3334</v>
      </c>
      <c r="C266" s="574">
        <v>38</v>
      </c>
      <c r="D266" s="574">
        <v>38</v>
      </c>
    </row>
    <row r="267" spans="1:4" ht="15.75">
      <c r="A267" s="623">
        <v>24751</v>
      </c>
      <c r="B267" s="581" t="s">
        <v>3335</v>
      </c>
      <c r="C267" s="574">
        <v>55</v>
      </c>
      <c r="D267" s="574">
        <v>55</v>
      </c>
    </row>
    <row r="268" spans="1:4" ht="15.75">
      <c r="A268" s="623">
        <v>24752</v>
      </c>
      <c r="B268" s="575" t="s">
        <v>3336</v>
      </c>
      <c r="C268" s="574">
        <v>55</v>
      </c>
      <c r="D268" s="574">
        <v>55</v>
      </c>
    </row>
    <row r="269" spans="1:4" ht="13.5">
      <c r="A269" s="613">
        <v>24753</v>
      </c>
      <c r="B269" s="575" t="s">
        <v>1458</v>
      </c>
      <c r="C269" s="574">
        <v>97</v>
      </c>
      <c r="D269" s="574">
        <v>97</v>
      </c>
    </row>
    <row r="270" spans="1:4" ht="13.5">
      <c r="A270" s="613">
        <v>24765</v>
      </c>
      <c r="B270" s="575" t="s">
        <v>1459</v>
      </c>
      <c r="C270" s="574">
        <v>147</v>
      </c>
      <c r="D270" s="574">
        <v>147</v>
      </c>
    </row>
    <row r="271" spans="1:4" ht="13.5">
      <c r="A271" s="619">
        <v>24780</v>
      </c>
      <c r="B271" s="575" t="s">
        <v>1460</v>
      </c>
      <c r="C271" s="574">
        <v>55</v>
      </c>
      <c r="D271" s="574">
        <v>55</v>
      </c>
    </row>
    <row r="272" spans="1:4" ht="15.75">
      <c r="A272" s="623">
        <v>24881</v>
      </c>
      <c r="B272" s="575" t="s">
        <v>1461</v>
      </c>
      <c r="C272" s="574">
        <v>51</v>
      </c>
      <c r="D272" s="574">
        <v>51</v>
      </c>
    </row>
    <row r="273" spans="1:4" ht="13.5">
      <c r="A273" s="613">
        <v>24896</v>
      </c>
      <c r="B273" s="575" t="s">
        <v>1462</v>
      </c>
      <c r="C273" s="574">
        <v>164</v>
      </c>
      <c r="D273" s="574">
        <v>164</v>
      </c>
    </row>
    <row r="274" spans="1:4" ht="15.75">
      <c r="A274" s="623">
        <v>24945</v>
      </c>
      <c r="B274" s="575" t="s">
        <v>1463</v>
      </c>
      <c r="C274" s="574">
        <v>32</v>
      </c>
      <c r="D274" s="574">
        <v>32</v>
      </c>
    </row>
    <row r="275" spans="1:4" ht="13.5">
      <c r="A275" s="613">
        <v>24981</v>
      </c>
      <c r="B275" s="575" t="s">
        <v>1464</v>
      </c>
      <c r="C275" s="574">
        <v>49</v>
      </c>
      <c r="D275" s="574">
        <v>49</v>
      </c>
    </row>
    <row r="276" spans="1:4" ht="13.5">
      <c r="A276" s="613">
        <v>25016</v>
      </c>
      <c r="B276" s="575" t="s">
        <v>1465</v>
      </c>
      <c r="C276" s="574">
        <v>820</v>
      </c>
      <c r="D276" s="574">
        <v>820</v>
      </c>
    </row>
    <row r="277" spans="1:4" ht="13.5">
      <c r="A277" s="613">
        <v>25017</v>
      </c>
      <c r="B277" s="575" t="s">
        <v>1466</v>
      </c>
      <c r="C277" s="574">
        <v>820</v>
      </c>
      <c r="D277" s="574">
        <v>820</v>
      </c>
    </row>
    <row r="278" spans="1:4" ht="13.5">
      <c r="A278" s="613">
        <v>25018</v>
      </c>
      <c r="B278" s="575" t="s">
        <v>1467</v>
      </c>
      <c r="C278" s="574">
        <v>820</v>
      </c>
      <c r="D278" s="574">
        <v>820</v>
      </c>
    </row>
    <row r="279" spans="1:4" ht="13.5">
      <c r="A279" s="613">
        <v>25019</v>
      </c>
      <c r="B279" s="575" t="s">
        <v>1468</v>
      </c>
      <c r="C279" s="574">
        <v>820</v>
      </c>
      <c r="D279" s="574">
        <v>820</v>
      </c>
    </row>
    <row r="280" spans="1:4" ht="13.5">
      <c r="A280" s="622">
        <v>25020</v>
      </c>
      <c r="B280" s="575" t="s">
        <v>883</v>
      </c>
      <c r="C280" s="574">
        <v>1120</v>
      </c>
      <c r="D280" s="574">
        <v>1120</v>
      </c>
    </row>
    <row r="281" spans="1:4" ht="12.75">
      <c r="A281" s="615">
        <v>25021</v>
      </c>
      <c r="B281" s="575" t="s">
        <v>884</v>
      </c>
      <c r="C281" s="574">
        <v>1210</v>
      </c>
      <c r="D281" s="574">
        <v>1210</v>
      </c>
    </row>
    <row r="282" spans="1:4" ht="12.75">
      <c r="A282" s="615">
        <v>25027</v>
      </c>
      <c r="B282" s="575" t="s">
        <v>885</v>
      </c>
      <c r="C282" s="574">
        <v>1943</v>
      </c>
      <c r="D282" s="574">
        <v>1943</v>
      </c>
    </row>
    <row r="283" spans="1:4" ht="12.75">
      <c r="A283" s="615">
        <v>25028</v>
      </c>
      <c r="B283" s="575" t="s">
        <v>886</v>
      </c>
      <c r="C283" s="574">
        <v>2273</v>
      </c>
      <c r="D283" s="574">
        <v>2273</v>
      </c>
    </row>
    <row r="284" spans="1:4" ht="12.75">
      <c r="A284" s="615">
        <v>25029</v>
      </c>
      <c r="B284" s="575" t="s">
        <v>887</v>
      </c>
      <c r="C284" s="574">
        <v>3618</v>
      </c>
      <c r="D284" s="574">
        <v>3618</v>
      </c>
    </row>
    <row r="285" spans="1:4" ht="12.75">
      <c r="A285" s="615">
        <v>25036</v>
      </c>
      <c r="B285" s="575" t="s">
        <v>888</v>
      </c>
      <c r="C285" s="574">
        <v>1162</v>
      </c>
      <c r="D285" s="574">
        <v>1162</v>
      </c>
    </row>
    <row r="286" spans="1:4" ht="13.5">
      <c r="A286" s="622">
        <v>25037</v>
      </c>
      <c r="B286" s="575" t="s">
        <v>889</v>
      </c>
      <c r="C286" s="574" t="s">
        <v>890</v>
      </c>
      <c r="D286" s="574" t="s">
        <v>890</v>
      </c>
    </row>
    <row r="287" spans="1:4" ht="12.75">
      <c r="A287" s="615">
        <v>25038</v>
      </c>
      <c r="B287" s="575" t="s">
        <v>891</v>
      </c>
      <c r="C287" s="574" t="s">
        <v>890</v>
      </c>
      <c r="D287" s="574" t="s">
        <v>890</v>
      </c>
    </row>
    <row r="288" spans="1:4" s="930" customFormat="1" ht="12.75">
      <c r="A288" s="990">
        <v>25039</v>
      </c>
      <c r="B288" s="973" t="s">
        <v>892</v>
      </c>
      <c r="C288" s="974">
        <v>680</v>
      </c>
      <c r="D288" s="974">
        <v>1162</v>
      </c>
    </row>
    <row r="289" spans="1:4" s="930" customFormat="1" ht="12.75">
      <c r="A289" s="990">
        <v>25051</v>
      </c>
      <c r="B289" s="973" t="s">
        <v>893</v>
      </c>
      <c r="C289" s="974">
        <v>352</v>
      </c>
      <c r="D289" s="974">
        <v>1800</v>
      </c>
    </row>
    <row r="290" spans="1:4" s="930" customFormat="1" ht="12.75">
      <c r="A290" s="990">
        <v>25052</v>
      </c>
      <c r="B290" s="973" t="s">
        <v>894</v>
      </c>
      <c r="C290" s="974">
        <v>460</v>
      </c>
      <c r="D290" s="974">
        <v>1800</v>
      </c>
    </row>
    <row r="291" spans="1:4" ht="12.75">
      <c r="A291" s="624">
        <v>25053</v>
      </c>
      <c r="B291" s="575" t="s">
        <v>895</v>
      </c>
      <c r="C291" s="574">
        <v>1800</v>
      </c>
      <c r="D291" s="574">
        <v>1800</v>
      </c>
    </row>
    <row r="292" spans="1:4" ht="12.75">
      <c r="A292" s="615">
        <v>25054</v>
      </c>
      <c r="B292" s="575" t="s">
        <v>896</v>
      </c>
      <c r="C292" s="574">
        <v>1800</v>
      </c>
      <c r="D292" s="574">
        <v>1800</v>
      </c>
    </row>
    <row r="293" spans="1:4" ht="12.75">
      <c r="A293" s="615">
        <v>25055</v>
      </c>
      <c r="B293" s="575" t="s">
        <v>897</v>
      </c>
      <c r="C293" s="574">
        <v>1800</v>
      </c>
      <c r="D293" s="574">
        <v>1800</v>
      </c>
    </row>
    <row r="294" spans="1:4" ht="12.75">
      <c r="A294" s="615">
        <v>25151</v>
      </c>
      <c r="B294" s="575" t="s">
        <v>898</v>
      </c>
      <c r="C294" s="574">
        <v>2276</v>
      </c>
      <c r="D294" s="574">
        <v>2276</v>
      </c>
    </row>
    <row r="295" spans="1:4" ht="12.75">
      <c r="A295" s="615">
        <v>25159</v>
      </c>
      <c r="B295" s="575" t="s">
        <v>899</v>
      </c>
      <c r="C295" s="574">
        <v>4629</v>
      </c>
      <c r="D295" s="574">
        <v>4629</v>
      </c>
    </row>
    <row r="296" spans="1:4" ht="12.75">
      <c r="A296" s="615">
        <v>25332</v>
      </c>
      <c r="B296" s="575" t="s">
        <v>2830</v>
      </c>
      <c r="C296" s="574">
        <v>2728</v>
      </c>
      <c r="D296" s="574">
        <v>2728</v>
      </c>
    </row>
    <row r="297" spans="1:4" ht="12.75">
      <c r="A297" s="615">
        <v>25349</v>
      </c>
      <c r="B297" s="575" t="s">
        <v>2831</v>
      </c>
      <c r="C297" s="574" t="s">
        <v>2832</v>
      </c>
      <c r="D297" s="574" t="s">
        <v>2832</v>
      </c>
    </row>
    <row r="298" spans="1:4" ht="12.75">
      <c r="A298" s="615">
        <v>25356</v>
      </c>
      <c r="B298" s="575" t="s">
        <v>2833</v>
      </c>
      <c r="C298" s="574" t="s">
        <v>2834</v>
      </c>
      <c r="D298" s="574" t="s">
        <v>2834</v>
      </c>
    </row>
    <row r="299" spans="1:4" ht="13.5">
      <c r="A299" s="613">
        <v>25522</v>
      </c>
      <c r="B299" s="575" t="s">
        <v>2835</v>
      </c>
      <c r="C299" s="574" t="s">
        <v>2836</v>
      </c>
      <c r="D299" s="574" t="s">
        <v>2836</v>
      </c>
    </row>
    <row r="300" spans="1:4" ht="13.5">
      <c r="A300" s="613">
        <v>25523</v>
      </c>
      <c r="B300" s="575" t="s">
        <v>832</v>
      </c>
      <c r="C300" s="574" t="s">
        <v>833</v>
      </c>
      <c r="D300" s="574" t="s">
        <v>833</v>
      </c>
    </row>
    <row r="301" spans="1:4" ht="13.5">
      <c r="A301" s="613">
        <v>25525</v>
      </c>
      <c r="B301" s="575" t="s">
        <v>834</v>
      </c>
      <c r="C301" s="574" t="s">
        <v>835</v>
      </c>
      <c r="D301" s="574" t="s">
        <v>835</v>
      </c>
    </row>
    <row r="302" spans="1:4" ht="15">
      <c r="A302" s="625">
        <v>25800</v>
      </c>
      <c r="B302" s="600" t="s">
        <v>700</v>
      </c>
      <c r="C302" s="574">
        <v>7006</v>
      </c>
      <c r="D302" s="574">
        <v>7006</v>
      </c>
    </row>
    <row r="303" spans="1:4" ht="15">
      <c r="A303" s="625">
        <v>25802</v>
      </c>
      <c r="B303" s="600" t="s">
        <v>701</v>
      </c>
      <c r="C303" s="574"/>
      <c r="D303" s="574"/>
    </row>
    <row r="304" spans="1:4" ht="15">
      <c r="A304" s="625">
        <v>25803</v>
      </c>
      <c r="B304" s="600" t="s">
        <v>702</v>
      </c>
      <c r="C304" s="574">
        <v>12865</v>
      </c>
      <c r="D304" s="574">
        <v>12865</v>
      </c>
    </row>
    <row r="305" spans="1:4" ht="15">
      <c r="A305" s="625">
        <v>25804</v>
      </c>
      <c r="B305" s="600" t="s">
        <v>703</v>
      </c>
      <c r="C305" s="574">
        <v>14908</v>
      </c>
      <c r="D305" s="574">
        <v>14908</v>
      </c>
    </row>
    <row r="306" spans="1:4" ht="15">
      <c r="A306" s="625">
        <v>25814</v>
      </c>
      <c r="B306" s="600" t="s">
        <v>704</v>
      </c>
      <c r="C306" s="574">
        <v>15990</v>
      </c>
      <c r="D306" s="574">
        <v>15990</v>
      </c>
    </row>
    <row r="307" spans="1:4" ht="15">
      <c r="A307" s="625">
        <v>25816</v>
      </c>
      <c r="B307" s="600" t="s">
        <v>705</v>
      </c>
      <c r="C307" s="574">
        <v>13292</v>
      </c>
      <c r="D307" s="574">
        <v>13292</v>
      </c>
    </row>
    <row r="308" spans="1:4" ht="15">
      <c r="A308" s="625">
        <v>25830</v>
      </c>
      <c r="B308" s="600" t="s">
        <v>706</v>
      </c>
      <c r="C308" s="574">
        <v>22080</v>
      </c>
      <c r="D308" s="574">
        <v>22080</v>
      </c>
    </row>
    <row r="309" spans="1:4" ht="15">
      <c r="A309" s="625">
        <v>25831</v>
      </c>
      <c r="B309" s="600" t="s">
        <v>707</v>
      </c>
      <c r="C309" s="574">
        <v>25840</v>
      </c>
      <c r="D309" s="574">
        <v>25840</v>
      </c>
    </row>
    <row r="310" spans="1:4" ht="15">
      <c r="A310" s="625">
        <v>26208</v>
      </c>
      <c r="B310" s="600" t="s">
        <v>708</v>
      </c>
      <c r="C310" s="574">
        <v>77</v>
      </c>
      <c r="D310" s="574">
        <v>77</v>
      </c>
    </row>
    <row r="311" spans="1:4" ht="15">
      <c r="A311" s="625">
        <v>26209</v>
      </c>
      <c r="B311" s="600" t="s">
        <v>709</v>
      </c>
      <c r="C311" s="574">
        <v>82</v>
      </c>
      <c r="D311" s="574">
        <v>82</v>
      </c>
    </row>
    <row r="312" spans="1:4" ht="15">
      <c r="A312" s="625">
        <v>26218</v>
      </c>
      <c r="B312" s="600" t="s">
        <v>710</v>
      </c>
      <c r="C312" s="574">
        <v>110</v>
      </c>
      <c r="D312" s="574">
        <v>110</v>
      </c>
    </row>
    <row r="313" spans="1:4" ht="15">
      <c r="A313" s="625">
        <v>26235</v>
      </c>
      <c r="B313" s="600" t="s">
        <v>711</v>
      </c>
      <c r="C313" s="574">
        <v>198</v>
      </c>
      <c r="D313" s="574">
        <v>198</v>
      </c>
    </row>
    <row r="314" spans="1:4" ht="15">
      <c r="A314" s="625">
        <v>26250</v>
      </c>
      <c r="B314" s="600" t="s">
        <v>712</v>
      </c>
      <c r="C314" s="574" t="s">
        <v>713</v>
      </c>
      <c r="D314" s="574" t="s">
        <v>713</v>
      </c>
    </row>
    <row r="315" spans="1:4" ht="15">
      <c r="A315" s="625">
        <v>26269</v>
      </c>
      <c r="B315" s="600" t="s">
        <v>714</v>
      </c>
      <c r="C315" s="574">
        <v>443</v>
      </c>
      <c r="D315" s="574">
        <v>443</v>
      </c>
    </row>
    <row r="316" spans="1:4" ht="15">
      <c r="A316" s="625">
        <v>26270</v>
      </c>
      <c r="B316" s="600" t="s">
        <v>715</v>
      </c>
      <c r="C316" s="574">
        <v>835</v>
      </c>
      <c r="D316" s="574">
        <v>835</v>
      </c>
    </row>
    <row r="317" spans="1:4" ht="15">
      <c r="A317" s="625">
        <v>26288</v>
      </c>
      <c r="B317" s="600" t="s">
        <v>716</v>
      </c>
      <c r="C317" s="574">
        <v>188</v>
      </c>
      <c r="D317" s="574">
        <v>188</v>
      </c>
    </row>
    <row r="318" spans="1:4" ht="15">
      <c r="A318" s="625">
        <v>27659</v>
      </c>
      <c r="B318" s="600" t="s">
        <v>717</v>
      </c>
      <c r="C318" s="574">
        <v>6000</v>
      </c>
      <c r="D318" s="574">
        <v>6000</v>
      </c>
    </row>
    <row r="319" spans="1:4" ht="15">
      <c r="A319" s="625">
        <v>28259</v>
      </c>
      <c r="B319" s="600" t="s">
        <v>718</v>
      </c>
      <c r="C319" s="574">
        <v>3939</v>
      </c>
      <c r="D319" s="574">
        <v>3939</v>
      </c>
    </row>
    <row r="320" spans="1:4" ht="15">
      <c r="A320" s="625">
        <v>28272</v>
      </c>
      <c r="B320" s="600" t="s">
        <v>719</v>
      </c>
      <c r="C320" s="574">
        <v>5740</v>
      </c>
      <c r="D320" s="574">
        <v>5740</v>
      </c>
    </row>
    <row r="321" spans="1:4" ht="15">
      <c r="A321" s="625">
        <v>28273</v>
      </c>
      <c r="B321" s="600" t="s">
        <v>720</v>
      </c>
      <c r="C321" s="574">
        <v>6940</v>
      </c>
      <c r="D321" s="574">
        <v>6940</v>
      </c>
    </row>
    <row r="322" spans="1:4" ht="15">
      <c r="A322" s="625">
        <v>28274</v>
      </c>
      <c r="B322" s="600" t="s">
        <v>721</v>
      </c>
      <c r="C322" s="574">
        <v>7760</v>
      </c>
      <c r="D322" s="574">
        <v>7760</v>
      </c>
    </row>
    <row r="323" spans="1:4" ht="15">
      <c r="A323" s="625">
        <v>28275</v>
      </c>
      <c r="B323" s="600" t="s">
        <v>722</v>
      </c>
      <c r="C323" s="574" t="s">
        <v>723</v>
      </c>
      <c r="D323" s="574" t="s">
        <v>723</v>
      </c>
    </row>
    <row r="324" spans="1:4" ht="15">
      <c r="A324" s="625">
        <v>28276</v>
      </c>
      <c r="B324" s="600" t="s">
        <v>2724</v>
      </c>
      <c r="C324" s="574" t="s">
        <v>2725</v>
      </c>
      <c r="D324" s="574" t="s">
        <v>2725</v>
      </c>
    </row>
    <row r="325" spans="1:4" ht="15">
      <c r="A325" s="625">
        <v>28297</v>
      </c>
      <c r="B325" s="600" t="s">
        <v>2726</v>
      </c>
      <c r="C325" s="574" t="s">
        <v>2727</v>
      </c>
      <c r="D325" s="574" t="s">
        <v>2727</v>
      </c>
    </row>
    <row r="326" spans="1:4" ht="15">
      <c r="A326" s="625">
        <v>28313</v>
      </c>
      <c r="B326" s="600" t="s">
        <v>2728</v>
      </c>
      <c r="C326" s="574" t="s">
        <v>2729</v>
      </c>
      <c r="D326" s="574" t="s">
        <v>2729</v>
      </c>
    </row>
    <row r="327" spans="1:4" ht="15">
      <c r="A327" s="625">
        <v>28414</v>
      </c>
      <c r="B327" s="600" t="s">
        <v>2730</v>
      </c>
      <c r="C327" s="574">
        <v>2818</v>
      </c>
      <c r="D327" s="574">
        <v>2818</v>
      </c>
    </row>
    <row r="328" spans="1:4" ht="15">
      <c r="A328" s="625">
        <v>28415</v>
      </c>
      <c r="B328" s="600" t="s">
        <v>2731</v>
      </c>
      <c r="C328" s="574" t="s">
        <v>2732</v>
      </c>
      <c r="D328" s="574" t="s">
        <v>2732</v>
      </c>
    </row>
    <row r="329" spans="1:4" ht="15.75">
      <c r="A329" s="625">
        <v>29216</v>
      </c>
      <c r="B329" s="600" t="s">
        <v>2733</v>
      </c>
      <c r="C329" s="574">
        <v>57</v>
      </c>
      <c r="D329" s="574">
        <v>57</v>
      </c>
    </row>
    <row r="330" spans="1:4" ht="15">
      <c r="A330" s="625">
        <v>29226</v>
      </c>
      <c r="B330" s="600" t="s">
        <v>2734</v>
      </c>
      <c r="C330" s="574">
        <v>38.6</v>
      </c>
      <c r="D330" s="574">
        <v>38.6</v>
      </c>
    </row>
    <row r="331" spans="1:4" ht="15">
      <c r="A331" s="625">
        <v>29228</v>
      </c>
      <c r="B331" s="600" t="s">
        <v>2735</v>
      </c>
      <c r="C331" s="574">
        <v>50</v>
      </c>
      <c r="D331" s="574">
        <v>50</v>
      </c>
    </row>
    <row r="332" spans="1:4" ht="15">
      <c r="A332" s="625">
        <v>29248</v>
      </c>
      <c r="B332" s="600" t="s">
        <v>2736</v>
      </c>
      <c r="C332" s="574">
        <v>70</v>
      </c>
      <c r="D332" s="574">
        <v>70</v>
      </c>
    </row>
    <row r="333" spans="1:4" ht="15">
      <c r="A333" s="625">
        <v>29258</v>
      </c>
      <c r="B333" s="600" t="s">
        <v>2737</v>
      </c>
      <c r="C333" s="574">
        <v>195</v>
      </c>
      <c r="D333" s="574">
        <v>195</v>
      </c>
    </row>
    <row r="334" spans="1:4" ht="15">
      <c r="A334" s="625">
        <v>29278</v>
      </c>
      <c r="B334" s="600" t="s">
        <v>2738</v>
      </c>
      <c r="C334" s="574">
        <v>280</v>
      </c>
      <c r="D334" s="574">
        <v>280</v>
      </c>
    </row>
    <row r="335" spans="1:4" ht="15">
      <c r="A335" s="625">
        <v>29279</v>
      </c>
      <c r="B335" s="600" t="s">
        <v>2739</v>
      </c>
      <c r="C335" s="574">
        <v>622</v>
      </c>
      <c r="D335" s="574">
        <v>622</v>
      </c>
    </row>
    <row r="336" spans="1:4" ht="15">
      <c r="A336" s="625">
        <v>29690</v>
      </c>
      <c r="B336" s="600" t="s">
        <v>2740</v>
      </c>
      <c r="C336" s="574" t="s">
        <v>2741</v>
      </c>
      <c r="D336" s="574" t="s">
        <v>2741</v>
      </c>
    </row>
    <row r="337" spans="1:4" ht="15">
      <c r="A337" s="625">
        <v>30000</v>
      </c>
      <c r="B337" s="600"/>
      <c r="C337" s="579"/>
      <c r="D337" s="579"/>
    </row>
    <row r="338" spans="1:4" ht="15">
      <c r="A338" s="625">
        <v>30007</v>
      </c>
      <c r="B338" s="600" t="s">
        <v>2723</v>
      </c>
      <c r="C338" s="574">
        <v>14</v>
      </c>
      <c r="D338" s="574">
        <v>14</v>
      </c>
    </row>
    <row r="339" spans="1:4" ht="15">
      <c r="A339" s="625">
        <v>30008</v>
      </c>
      <c r="B339" s="600" t="s">
        <v>3306</v>
      </c>
      <c r="C339" s="574">
        <v>11.8</v>
      </c>
      <c r="D339" s="574">
        <v>11.8</v>
      </c>
    </row>
    <row r="340" spans="1:4" ht="15">
      <c r="A340" s="625">
        <v>30014</v>
      </c>
      <c r="B340" s="600" t="s">
        <v>3307</v>
      </c>
      <c r="C340" s="574">
        <v>18.5</v>
      </c>
      <c r="D340" s="574">
        <v>18.5</v>
      </c>
    </row>
    <row r="341" spans="1:4" ht="15">
      <c r="A341" s="625">
        <v>30015</v>
      </c>
      <c r="B341" s="600" t="s">
        <v>3308</v>
      </c>
      <c r="C341" s="574">
        <v>16.5</v>
      </c>
      <c r="D341" s="574">
        <v>16.5</v>
      </c>
    </row>
    <row r="342" spans="1:4" ht="15">
      <c r="A342" s="625">
        <v>30017</v>
      </c>
      <c r="B342" s="600" t="s">
        <v>3309</v>
      </c>
      <c r="C342" s="574">
        <v>33.25</v>
      </c>
      <c r="D342" s="574">
        <v>33.25</v>
      </c>
    </row>
    <row r="343" spans="1:4" ht="15">
      <c r="A343" s="625">
        <v>30027</v>
      </c>
      <c r="B343" s="600" t="s">
        <v>3310</v>
      </c>
      <c r="C343" s="574">
        <v>45.15</v>
      </c>
      <c r="D343" s="574">
        <v>45.15</v>
      </c>
    </row>
    <row r="344" spans="1:4" ht="15">
      <c r="A344" s="625">
        <v>30030</v>
      </c>
      <c r="B344" s="600" t="s">
        <v>3311</v>
      </c>
      <c r="C344" s="574">
        <v>130</v>
      </c>
      <c r="D344" s="574">
        <v>130</v>
      </c>
    </row>
    <row r="345" spans="1:4" ht="15">
      <c r="A345" s="625">
        <v>30038</v>
      </c>
      <c r="B345" s="600" t="s">
        <v>3312</v>
      </c>
      <c r="C345" s="574">
        <v>167.5</v>
      </c>
      <c r="D345" s="574">
        <v>167.5</v>
      </c>
    </row>
    <row r="346" spans="1:4" ht="15">
      <c r="A346" s="625">
        <v>30048</v>
      </c>
      <c r="B346" s="600" t="s">
        <v>3313</v>
      </c>
      <c r="C346" s="574">
        <v>251</v>
      </c>
      <c r="D346" s="574">
        <v>251</v>
      </c>
    </row>
    <row r="347" spans="1:4" ht="15">
      <c r="A347" s="625">
        <v>30058</v>
      </c>
      <c r="B347" s="600" t="s">
        <v>3314</v>
      </c>
      <c r="C347" s="574">
        <v>228.75</v>
      </c>
      <c r="D347" s="574">
        <v>228.75</v>
      </c>
    </row>
    <row r="348" spans="1:4" ht="15">
      <c r="A348" s="625">
        <v>30064</v>
      </c>
      <c r="B348" s="600" t="s">
        <v>3315</v>
      </c>
      <c r="C348" s="574">
        <f>--307.5</f>
        <v>307.5</v>
      </c>
      <c r="D348" s="574">
        <f>--307.5</f>
        <v>307.5</v>
      </c>
    </row>
    <row r="349" spans="1:4" ht="15">
      <c r="A349" s="625">
        <v>30092</v>
      </c>
      <c r="B349" s="587" t="s">
        <v>3316</v>
      </c>
      <c r="C349" s="574">
        <v>45.65</v>
      </c>
      <c r="D349" s="574">
        <v>45.65</v>
      </c>
    </row>
    <row r="350" spans="1:4" ht="15">
      <c r="A350" s="609">
        <v>30093</v>
      </c>
      <c r="B350" s="581" t="s">
        <v>654</v>
      </c>
      <c r="C350" s="574">
        <v>68.75</v>
      </c>
      <c r="D350" s="574">
        <v>68.75</v>
      </c>
    </row>
    <row r="351" spans="1:4" ht="13.5">
      <c r="A351" s="609">
        <v>30156</v>
      </c>
      <c r="B351" s="587" t="s">
        <v>655</v>
      </c>
      <c r="C351" s="574">
        <v>37.4</v>
      </c>
      <c r="D351" s="574">
        <v>37.4</v>
      </c>
    </row>
    <row r="352" spans="1:4" ht="13.5">
      <c r="A352" s="609">
        <v>30159</v>
      </c>
      <c r="B352" s="587" t="s">
        <v>656</v>
      </c>
      <c r="C352" s="574">
        <v>37.75</v>
      </c>
      <c r="D352" s="574">
        <v>37.75</v>
      </c>
    </row>
    <row r="353" spans="1:4" ht="13.5">
      <c r="A353" s="609">
        <v>30168</v>
      </c>
      <c r="B353" s="587" t="s">
        <v>2638</v>
      </c>
      <c r="C353" s="574">
        <v>78</v>
      </c>
      <c r="D353" s="574">
        <v>78</v>
      </c>
    </row>
    <row r="354" spans="1:4" ht="15.75">
      <c r="A354" s="626">
        <v>30188</v>
      </c>
      <c r="B354" s="587" t="s">
        <v>2639</v>
      </c>
      <c r="C354" s="574">
        <v>22.4</v>
      </c>
      <c r="D354" s="574">
        <v>22.4</v>
      </c>
    </row>
    <row r="355" spans="1:4" ht="15.75">
      <c r="A355" s="626">
        <v>30196</v>
      </c>
      <c r="B355" s="587" t="s">
        <v>2640</v>
      </c>
      <c r="C355" s="574">
        <v>22.4</v>
      </c>
      <c r="D355" s="574">
        <v>22.4</v>
      </c>
    </row>
    <row r="356" spans="1:4" ht="15.75">
      <c r="A356" s="626">
        <v>30197</v>
      </c>
      <c r="B356" s="588" t="s">
        <v>2641</v>
      </c>
      <c r="C356" s="574">
        <v>22</v>
      </c>
      <c r="D356" s="574">
        <v>22</v>
      </c>
    </row>
    <row r="357" spans="1:4" ht="16.5">
      <c r="A357" s="627">
        <v>30198</v>
      </c>
      <c r="B357" s="601" t="s">
        <v>2642</v>
      </c>
      <c r="C357" s="574">
        <v>22</v>
      </c>
      <c r="D357" s="574">
        <v>22</v>
      </c>
    </row>
    <row r="358" spans="1:4" ht="15.75">
      <c r="A358" s="626">
        <v>30206</v>
      </c>
      <c r="B358" s="587" t="s">
        <v>2643</v>
      </c>
      <c r="C358" s="574">
        <v>51</v>
      </c>
      <c r="D358" s="574">
        <v>51</v>
      </c>
    </row>
    <row r="359" spans="1:4" ht="13.5">
      <c r="A359" s="609">
        <v>30216</v>
      </c>
      <c r="B359" s="575" t="s">
        <v>2644</v>
      </c>
      <c r="C359" s="574">
        <v>77.4</v>
      </c>
      <c r="D359" s="574">
        <v>77.4</v>
      </c>
    </row>
    <row r="360" spans="1:4" ht="15.75">
      <c r="A360" s="626">
        <v>30220</v>
      </c>
      <c r="B360" s="587" t="s">
        <v>2645</v>
      </c>
      <c r="C360" s="574">
        <v>8</v>
      </c>
      <c r="D360" s="574">
        <v>8</v>
      </c>
    </row>
    <row r="361" spans="1:4" ht="13.5">
      <c r="A361" s="609">
        <v>30221</v>
      </c>
      <c r="B361" s="587" t="s">
        <v>2646</v>
      </c>
      <c r="C361" s="574">
        <v>13.15</v>
      </c>
      <c r="D361" s="574">
        <v>13.15</v>
      </c>
    </row>
    <row r="362" spans="1:4" ht="15.75">
      <c r="A362" s="626">
        <v>30223</v>
      </c>
      <c r="B362" s="587" t="s">
        <v>2647</v>
      </c>
      <c r="C362" s="574">
        <v>20.4</v>
      </c>
      <c r="D362" s="574">
        <v>20.4</v>
      </c>
    </row>
    <row r="363" spans="1:4" ht="15.75">
      <c r="A363" s="626">
        <v>30224</v>
      </c>
      <c r="B363" s="587" t="s">
        <v>2648</v>
      </c>
      <c r="C363" s="574">
        <v>20</v>
      </c>
      <c r="D363" s="574">
        <v>20</v>
      </c>
    </row>
    <row r="364" spans="1:4" ht="15.75">
      <c r="A364" s="626">
        <v>30225</v>
      </c>
      <c r="B364" s="587" t="s">
        <v>2649</v>
      </c>
      <c r="C364" s="574">
        <v>1.45</v>
      </c>
      <c r="D364" s="574">
        <v>1.45</v>
      </c>
    </row>
    <row r="365" spans="1:4" ht="15.75">
      <c r="A365" s="626">
        <v>30236</v>
      </c>
      <c r="B365" s="581" t="s">
        <v>2650</v>
      </c>
      <c r="C365" s="574">
        <v>98</v>
      </c>
      <c r="D365" s="574">
        <v>98</v>
      </c>
    </row>
    <row r="366" spans="1:4" ht="15.75">
      <c r="A366" s="626">
        <v>30237</v>
      </c>
      <c r="B366" s="575" t="s">
        <v>2651</v>
      </c>
      <c r="C366" s="574">
        <v>202.5</v>
      </c>
      <c r="D366" s="574">
        <v>202.5</v>
      </c>
    </row>
    <row r="367" spans="1:4" ht="15.75">
      <c r="A367" s="626">
        <v>30238</v>
      </c>
      <c r="B367" s="575" t="s">
        <v>2652</v>
      </c>
      <c r="C367" s="574">
        <v>265</v>
      </c>
      <c r="D367" s="574">
        <v>265</v>
      </c>
    </row>
    <row r="368" spans="1:4" ht="15.75">
      <c r="A368" s="626">
        <v>30247</v>
      </c>
      <c r="B368" s="587" t="s">
        <v>2653</v>
      </c>
      <c r="C368" s="574">
        <v>210</v>
      </c>
      <c r="D368" s="574">
        <v>210</v>
      </c>
    </row>
    <row r="369" spans="1:4" ht="16.5">
      <c r="A369" s="627">
        <v>30250</v>
      </c>
      <c r="B369" s="587" t="s">
        <v>2654</v>
      </c>
      <c r="C369" s="574">
        <v>6.5</v>
      </c>
      <c r="D369" s="574">
        <v>6.5</v>
      </c>
    </row>
    <row r="370" spans="1:4" ht="15.75">
      <c r="A370" s="626">
        <v>30251</v>
      </c>
      <c r="B370" s="587" t="s">
        <v>2655</v>
      </c>
      <c r="C370" s="574">
        <v>13.9</v>
      </c>
      <c r="D370" s="574">
        <v>13.9</v>
      </c>
    </row>
    <row r="371" spans="1:4" ht="15.75">
      <c r="A371" s="626">
        <v>30253</v>
      </c>
      <c r="B371" s="587" t="s">
        <v>2656</v>
      </c>
      <c r="C371" s="574">
        <v>21.15</v>
      </c>
      <c r="D371" s="574">
        <v>21.15</v>
      </c>
    </row>
    <row r="372" spans="1:4" ht="15.75">
      <c r="A372" s="626">
        <v>30254</v>
      </c>
      <c r="B372" s="600" t="s">
        <v>2657</v>
      </c>
      <c r="C372" s="574">
        <v>20.4</v>
      </c>
      <c r="D372" s="574">
        <v>20.4</v>
      </c>
    </row>
    <row r="373" spans="1:4" ht="15.75">
      <c r="A373" s="626">
        <v>30255</v>
      </c>
      <c r="B373" s="587" t="s">
        <v>2658</v>
      </c>
      <c r="C373" s="574">
        <v>1.65</v>
      </c>
      <c r="D373" s="574">
        <v>1.65</v>
      </c>
    </row>
    <row r="374" spans="1:4" ht="13.5">
      <c r="A374" s="609">
        <v>30265</v>
      </c>
      <c r="B374" s="587" t="s">
        <v>2659</v>
      </c>
      <c r="C374" s="574">
        <v>2</v>
      </c>
      <c r="D374" s="574">
        <v>2</v>
      </c>
    </row>
    <row r="375" spans="1:4" ht="13.5">
      <c r="A375" s="609">
        <v>30270</v>
      </c>
      <c r="B375" s="587" t="s">
        <v>2660</v>
      </c>
      <c r="C375" s="574">
        <v>6.55</v>
      </c>
      <c r="D375" s="574">
        <v>6.55</v>
      </c>
    </row>
    <row r="376" spans="1:4" ht="15.75">
      <c r="A376" s="626">
        <v>30271</v>
      </c>
      <c r="B376" s="587" t="s">
        <v>2661</v>
      </c>
      <c r="C376" s="574">
        <v>13.5</v>
      </c>
      <c r="D376" s="574">
        <v>13.5</v>
      </c>
    </row>
    <row r="377" spans="1:4" ht="15">
      <c r="A377" s="609">
        <v>30273</v>
      </c>
      <c r="B377" s="588" t="s">
        <v>2662</v>
      </c>
      <c r="C377" s="574">
        <v>20.65</v>
      </c>
      <c r="D377" s="574">
        <v>20.65</v>
      </c>
    </row>
    <row r="378" spans="1:4" ht="15.75">
      <c r="A378" s="626">
        <v>274</v>
      </c>
      <c r="B378" s="587" t="s">
        <v>2663</v>
      </c>
      <c r="C378" s="574">
        <v>23.15</v>
      </c>
      <c r="D378" s="574">
        <v>23.15</v>
      </c>
    </row>
    <row r="379" spans="1:4" ht="15.75">
      <c r="A379" s="626">
        <v>30280</v>
      </c>
      <c r="B379" s="587" t="s">
        <v>2664</v>
      </c>
      <c r="C379" s="574">
        <v>7.65</v>
      </c>
      <c r="D379" s="574">
        <v>7.65</v>
      </c>
    </row>
    <row r="380" spans="1:4" ht="15.75">
      <c r="A380" s="626">
        <v>30281</v>
      </c>
      <c r="B380" s="587" t="s">
        <v>2665</v>
      </c>
      <c r="C380" s="574">
        <v>22</v>
      </c>
      <c r="D380" s="574">
        <v>22</v>
      </c>
    </row>
    <row r="381" spans="1:4" ht="13.5">
      <c r="A381" s="609">
        <v>30283</v>
      </c>
      <c r="B381" s="587" t="s">
        <v>2666</v>
      </c>
      <c r="C381" s="574">
        <v>23.5</v>
      </c>
      <c r="D381" s="574">
        <v>23.5</v>
      </c>
    </row>
    <row r="382" spans="1:4" ht="15.75">
      <c r="A382" s="626">
        <v>30284</v>
      </c>
      <c r="B382" s="587" t="s">
        <v>2667</v>
      </c>
      <c r="C382" s="579"/>
      <c r="D382" s="579"/>
    </row>
    <row r="383" spans="1:4" ht="13.5">
      <c r="A383" s="609">
        <v>30290</v>
      </c>
      <c r="B383" s="587" t="s">
        <v>2668</v>
      </c>
      <c r="C383" s="574">
        <v>11.25</v>
      </c>
      <c r="D383" s="574">
        <v>11.25</v>
      </c>
    </row>
    <row r="384" spans="1:4" ht="15.75">
      <c r="A384" s="626">
        <v>30291</v>
      </c>
      <c r="B384" s="587" t="s">
        <v>2669</v>
      </c>
      <c r="C384" s="574">
        <v>37.9</v>
      </c>
      <c r="D384" s="574">
        <v>37.9</v>
      </c>
    </row>
    <row r="385" spans="1:4" ht="15.75">
      <c r="A385" s="626">
        <v>30292</v>
      </c>
      <c r="B385" s="628" t="s">
        <v>2670</v>
      </c>
      <c r="C385" s="574">
        <v>44.15</v>
      </c>
      <c r="D385" s="574">
        <v>44.15</v>
      </c>
    </row>
    <row r="386" spans="1:4" ht="13.5">
      <c r="A386" s="629">
        <v>30293</v>
      </c>
      <c r="B386" s="630" t="s">
        <v>2671</v>
      </c>
      <c r="C386" s="574">
        <v>50</v>
      </c>
      <c r="D386" s="574">
        <v>50</v>
      </c>
    </row>
    <row r="387" spans="1:4" ht="15">
      <c r="A387" s="631">
        <v>30294</v>
      </c>
      <c r="B387" s="587" t="s">
        <v>2672</v>
      </c>
      <c r="C387" s="574">
        <v>13.25</v>
      </c>
      <c r="D387" s="574">
        <v>13.25</v>
      </c>
    </row>
    <row r="388" spans="1:4" ht="12.75">
      <c r="A388" s="631">
        <v>30295</v>
      </c>
      <c r="B388" s="587" t="s">
        <v>2673</v>
      </c>
      <c r="C388" s="574">
        <v>3.55</v>
      </c>
      <c r="D388" s="574">
        <v>3.55</v>
      </c>
    </row>
    <row r="389" spans="1:4" ht="12.75">
      <c r="A389" s="631">
        <v>30300</v>
      </c>
      <c r="B389" s="587" t="s">
        <v>2674</v>
      </c>
      <c r="C389" s="574">
        <v>12.75</v>
      </c>
      <c r="D389" s="574">
        <v>12.75</v>
      </c>
    </row>
    <row r="390" spans="1:4" ht="12.75">
      <c r="A390" s="631">
        <v>30301</v>
      </c>
      <c r="B390" s="587" t="s">
        <v>2675</v>
      </c>
      <c r="C390" s="574">
        <v>48</v>
      </c>
      <c r="D390" s="574">
        <v>48</v>
      </c>
    </row>
    <row r="391" spans="1:4" ht="13.5">
      <c r="A391" s="609">
        <v>30305</v>
      </c>
      <c r="B391" s="587" t="s">
        <v>2676</v>
      </c>
      <c r="C391" s="574">
        <v>4</v>
      </c>
      <c r="D391" s="574">
        <v>4</v>
      </c>
    </row>
    <row r="392" spans="1:4" ht="15.75">
      <c r="A392" s="626">
        <v>30306</v>
      </c>
      <c r="B392" s="587" t="s">
        <v>2677</v>
      </c>
      <c r="C392" s="574">
        <v>65.9</v>
      </c>
      <c r="D392" s="574">
        <v>65.9</v>
      </c>
    </row>
    <row r="393" spans="1:4" ht="13.5">
      <c r="A393" s="609">
        <v>30310</v>
      </c>
      <c r="B393" s="587" t="s">
        <v>1090</v>
      </c>
      <c r="C393" s="574">
        <v>32.15</v>
      </c>
      <c r="D393" s="574">
        <v>32.15</v>
      </c>
    </row>
    <row r="394" spans="1:4" ht="15.75">
      <c r="A394" s="626">
        <v>30311</v>
      </c>
      <c r="B394" s="587" t="s">
        <v>2678</v>
      </c>
      <c r="C394" s="574">
        <v>103</v>
      </c>
      <c r="D394" s="574">
        <v>103</v>
      </c>
    </row>
    <row r="395" spans="1:4" ht="15.75">
      <c r="A395" s="626">
        <v>30312</v>
      </c>
      <c r="B395" s="587" t="s">
        <v>1263</v>
      </c>
      <c r="C395" s="574">
        <v>115.5</v>
      </c>
      <c r="D395" s="574">
        <v>115.5</v>
      </c>
    </row>
    <row r="396" spans="1:4" ht="13.5">
      <c r="A396" s="609">
        <v>30313</v>
      </c>
      <c r="B396" s="587" t="s">
        <v>1264</v>
      </c>
      <c r="C396" s="574">
        <v>152.5</v>
      </c>
      <c r="D396" s="574">
        <v>152.5</v>
      </c>
    </row>
    <row r="397" spans="1:4" ht="15.75">
      <c r="A397" s="626">
        <v>30314</v>
      </c>
      <c r="B397" s="587" t="s">
        <v>1265</v>
      </c>
      <c r="C397" s="574">
        <v>325</v>
      </c>
      <c r="D397" s="574">
        <v>325</v>
      </c>
    </row>
    <row r="398" spans="1:4" ht="15.75">
      <c r="A398" s="626">
        <v>30315</v>
      </c>
      <c r="B398" s="575" t="s">
        <v>1266</v>
      </c>
      <c r="C398" s="579">
        <v>21.65</v>
      </c>
      <c r="D398" s="579">
        <v>21.65</v>
      </c>
    </row>
    <row r="399" spans="1:4" ht="16.5">
      <c r="A399" s="627">
        <v>30316</v>
      </c>
      <c r="B399" s="586" t="s">
        <v>1267</v>
      </c>
      <c r="C399" s="579">
        <v>32.25</v>
      </c>
      <c r="D399" s="579">
        <v>32.25</v>
      </c>
    </row>
    <row r="400" spans="1:4" ht="15.75">
      <c r="A400" s="626">
        <v>30320</v>
      </c>
      <c r="B400" s="588" t="s">
        <v>1268</v>
      </c>
      <c r="C400" s="579">
        <v>18.25</v>
      </c>
      <c r="D400" s="579">
        <v>18.25</v>
      </c>
    </row>
    <row r="401" spans="1:4" ht="16.5">
      <c r="A401" s="609">
        <v>30321</v>
      </c>
      <c r="B401" s="632" t="s">
        <v>1438</v>
      </c>
      <c r="C401" s="574">
        <v>143.75</v>
      </c>
      <c r="D401" s="574">
        <v>143.75</v>
      </c>
    </row>
    <row r="402" spans="1:4" ht="13.5">
      <c r="A402" s="609">
        <v>30322</v>
      </c>
      <c r="B402" s="587" t="s">
        <v>1439</v>
      </c>
      <c r="C402" s="574">
        <v>157.5</v>
      </c>
      <c r="D402" s="574">
        <v>157.5</v>
      </c>
    </row>
    <row r="403" spans="1:4" ht="24">
      <c r="A403" s="609">
        <v>30324</v>
      </c>
      <c r="B403" s="587" t="s">
        <v>1214</v>
      </c>
      <c r="C403" s="574">
        <v>596.25</v>
      </c>
      <c r="D403" s="574">
        <v>596.25</v>
      </c>
    </row>
    <row r="404" spans="1:4" ht="13.5">
      <c r="A404" s="609">
        <v>30325</v>
      </c>
      <c r="B404" s="582" t="s">
        <v>1215</v>
      </c>
      <c r="C404" s="574">
        <v>35.75</v>
      </c>
      <c r="D404" s="574">
        <v>35.75</v>
      </c>
    </row>
    <row r="405" spans="1:4" ht="15.75">
      <c r="A405" s="626">
        <v>30326</v>
      </c>
      <c r="B405" s="575" t="s">
        <v>1216</v>
      </c>
      <c r="C405" s="574">
        <v>41</v>
      </c>
      <c r="D405" s="574">
        <v>41</v>
      </c>
    </row>
    <row r="406" spans="1:4" ht="13.5">
      <c r="A406" s="609">
        <v>30330</v>
      </c>
      <c r="B406" s="587" t="s">
        <v>1217</v>
      </c>
      <c r="C406" s="574">
        <v>27</v>
      </c>
      <c r="D406" s="574">
        <v>27</v>
      </c>
    </row>
    <row r="407" spans="1:4" ht="15.75">
      <c r="A407" s="626">
        <v>30331</v>
      </c>
      <c r="B407" s="587" t="s">
        <v>1218</v>
      </c>
      <c r="C407" s="574">
        <v>168.75</v>
      </c>
      <c r="D407" s="574">
        <v>168.75</v>
      </c>
    </row>
    <row r="408" spans="1:4" ht="15.75">
      <c r="A408" s="626">
        <v>30332</v>
      </c>
      <c r="B408" s="587" t="s">
        <v>1219</v>
      </c>
      <c r="C408" s="574">
        <v>193.75</v>
      </c>
      <c r="D408" s="574">
        <v>193.75</v>
      </c>
    </row>
    <row r="409" spans="1:4" ht="15.75">
      <c r="A409" s="626">
        <v>20333</v>
      </c>
      <c r="B409" s="587" t="s">
        <v>1220</v>
      </c>
      <c r="C409" s="574">
        <v>395</v>
      </c>
      <c r="D409" s="574">
        <v>395</v>
      </c>
    </row>
    <row r="410" spans="1:4" ht="15">
      <c r="A410" s="609">
        <v>30335</v>
      </c>
      <c r="B410" s="575" t="s">
        <v>1221</v>
      </c>
      <c r="C410" s="574">
        <v>37.75</v>
      </c>
      <c r="D410" s="574">
        <v>37.75</v>
      </c>
    </row>
    <row r="411" spans="1:4" ht="15.75">
      <c r="A411" s="626">
        <v>30351</v>
      </c>
      <c r="B411" s="587" t="s">
        <v>1222</v>
      </c>
      <c r="C411" s="574">
        <v>23.75</v>
      </c>
      <c r="D411" s="574">
        <v>23.75</v>
      </c>
    </row>
    <row r="412" spans="1:4" ht="15.75">
      <c r="A412" s="626">
        <v>30352</v>
      </c>
      <c r="B412" s="587" t="s">
        <v>1747</v>
      </c>
      <c r="C412" s="574">
        <v>28.15</v>
      </c>
      <c r="D412" s="574">
        <v>28.15</v>
      </c>
    </row>
    <row r="413" spans="1:4" ht="15.75">
      <c r="A413" s="626">
        <v>30355</v>
      </c>
      <c r="B413" s="600" t="s">
        <v>1748</v>
      </c>
      <c r="C413" s="574">
        <v>24.65</v>
      </c>
      <c r="D413" s="574">
        <v>24.65</v>
      </c>
    </row>
    <row r="414" spans="1:4" ht="15.75">
      <c r="A414" s="626">
        <v>30356</v>
      </c>
      <c r="B414" s="600" t="s">
        <v>1749</v>
      </c>
      <c r="C414" s="574">
        <v>31.15</v>
      </c>
      <c r="D414" s="574">
        <v>31.15</v>
      </c>
    </row>
    <row r="415" spans="1:4" ht="15.75">
      <c r="A415" s="626">
        <v>30370</v>
      </c>
      <c r="B415" s="588" t="s">
        <v>1750</v>
      </c>
      <c r="C415" s="574">
        <v>75</v>
      </c>
      <c r="D415" s="574">
        <v>75</v>
      </c>
    </row>
    <row r="416" spans="1:4" ht="15.75">
      <c r="A416" s="626">
        <v>30379</v>
      </c>
      <c r="B416" s="587" t="s">
        <v>1751</v>
      </c>
      <c r="C416" s="574">
        <v>69</v>
      </c>
      <c r="D416" s="574">
        <v>69</v>
      </c>
    </row>
    <row r="417" spans="1:4" ht="13.5">
      <c r="A417" s="609">
        <v>30380</v>
      </c>
      <c r="B417" s="587" t="s">
        <v>1752</v>
      </c>
      <c r="C417" s="574">
        <v>65</v>
      </c>
      <c r="D417" s="574">
        <v>65</v>
      </c>
    </row>
    <row r="418" spans="1:4" ht="15.75">
      <c r="A418" s="626">
        <v>30381</v>
      </c>
      <c r="B418" s="587" t="s">
        <v>1753</v>
      </c>
      <c r="C418" s="574">
        <v>17.65</v>
      </c>
      <c r="D418" s="574">
        <v>17.65</v>
      </c>
    </row>
    <row r="419" spans="1:4" ht="15.75">
      <c r="A419" s="626">
        <v>30397</v>
      </c>
      <c r="B419" s="594" t="s">
        <v>1754</v>
      </c>
      <c r="C419" s="574">
        <v>23</v>
      </c>
      <c r="D419" s="574">
        <v>23</v>
      </c>
    </row>
    <row r="420" spans="1:4" ht="16.5">
      <c r="A420" s="627">
        <v>30436</v>
      </c>
      <c r="B420" s="588" t="s">
        <v>1755</v>
      </c>
      <c r="C420" s="574">
        <v>36.75</v>
      </c>
      <c r="D420" s="574">
        <v>36.75</v>
      </c>
    </row>
    <row r="421" spans="1:4" ht="15.75">
      <c r="A421" s="626">
        <v>30437</v>
      </c>
      <c r="B421" s="633"/>
      <c r="C421" s="574">
        <v>55.65</v>
      </c>
      <c r="D421" s="574">
        <v>55.65</v>
      </c>
    </row>
    <row r="422" spans="1:4" ht="15.75">
      <c r="A422" s="626">
        <v>30439</v>
      </c>
      <c r="B422" s="581" t="s">
        <v>633</v>
      </c>
      <c r="C422" s="574">
        <v>51.65</v>
      </c>
      <c r="D422" s="574">
        <v>51.65</v>
      </c>
    </row>
    <row r="423" spans="1:4" ht="13.5">
      <c r="A423" s="609">
        <v>30460</v>
      </c>
      <c r="B423" s="587" t="s">
        <v>634</v>
      </c>
      <c r="C423" s="574">
        <v>50.4</v>
      </c>
      <c r="D423" s="574">
        <v>50.4</v>
      </c>
    </row>
    <row r="424" spans="1:4" ht="13.5">
      <c r="A424" s="609" t="s">
        <v>635</v>
      </c>
      <c r="B424" s="587" t="s">
        <v>636</v>
      </c>
      <c r="C424" s="574">
        <v>312.5</v>
      </c>
      <c r="D424" s="574">
        <v>312.5</v>
      </c>
    </row>
    <row r="425" spans="1:4" ht="13.5">
      <c r="A425" s="609">
        <v>30463</v>
      </c>
      <c r="B425" s="587" t="s">
        <v>637</v>
      </c>
      <c r="C425" s="574">
        <v>717.5</v>
      </c>
      <c r="D425" s="574">
        <v>717.5</v>
      </c>
    </row>
    <row r="426" spans="1:4" ht="13.5">
      <c r="A426" s="609">
        <v>30464</v>
      </c>
      <c r="B426" s="587" t="s">
        <v>638</v>
      </c>
      <c r="C426" s="574" t="s">
        <v>639</v>
      </c>
      <c r="D426" s="574" t="s">
        <v>639</v>
      </c>
    </row>
    <row r="427" spans="1:4" ht="15.75">
      <c r="A427" s="626">
        <v>30465</v>
      </c>
      <c r="B427" s="587" t="s">
        <v>1082</v>
      </c>
      <c r="C427" s="574">
        <v>41.75</v>
      </c>
      <c r="D427" s="574">
        <v>41.75</v>
      </c>
    </row>
    <row r="428" spans="1:4" ht="15.75">
      <c r="A428" s="626">
        <v>30667</v>
      </c>
      <c r="B428" s="587" t="s">
        <v>1083</v>
      </c>
      <c r="C428" s="574">
        <v>40.25</v>
      </c>
      <c r="D428" s="574">
        <v>40.25</v>
      </c>
    </row>
    <row r="429" spans="1:4" ht="15.75">
      <c r="A429" s="626">
        <v>30669</v>
      </c>
      <c r="B429" s="588" t="s">
        <v>1084</v>
      </c>
      <c r="C429" s="574">
        <v>39.9</v>
      </c>
      <c r="D429" s="574">
        <v>39.9</v>
      </c>
    </row>
    <row r="430" spans="1:4" ht="15.75">
      <c r="A430" s="626">
        <v>30680</v>
      </c>
      <c r="B430" s="587" t="s">
        <v>1085</v>
      </c>
      <c r="C430" s="574">
        <v>48.75</v>
      </c>
      <c r="D430" s="574">
        <v>48.75</v>
      </c>
    </row>
    <row r="431" spans="1:4" ht="15.75">
      <c r="A431" s="626">
        <v>30682</v>
      </c>
      <c r="B431" s="587" t="s">
        <v>1086</v>
      </c>
      <c r="C431" s="574">
        <v>52.5</v>
      </c>
      <c r="D431" s="574">
        <v>52.5</v>
      </c>
    </row>
    <row r="432" spans="1:4" ht="13.5">
      <c r="A432" s="609">
        <v>30687</v>
      </c>
      <c r="B432" s="587" t="s">
        <v>1087</v>
      </c>
      <c r="C432" s="574">
        <v>30.4</v>
      </c>
      <c r="D432" s="574">
        <v>30.4</v>
      </c>
    </row>
    <row r="433" spans="1:4" ht="15.75">
      <c r="A433" s="626">
        <v>30712</v>
      </c>
      <c r="B433" s="587" t="s">
        <v>1088</v>
      </c>
      <c r="C433" s="574">
        <v>525</v>
      </c>
      <c r="D433" s="574">
        <v>525</v>
      </c>
    </row>
    <row r="434" spans="1:4" ht="15.75">
      <c r="A434" s="626">
        <v>30720</v>
      </c>
      <c r="B434" s="587" t="s">
        <v>1089</v>
      </c>
      <c r="C434" s="574">
        <v>688</v>
      </c>
      <c r="D434" s="574">
        <v>688</v>
      </c>
    </row>
    <row r="435" spans="1:4" ht="15.75">
      <c r="A435" s="626">
        <v>30750</v>
      </c>
      <c r="B435" s="587" t="s">
        <v>1090</v>
      </c>
      <c r="C435" s="574">
        <v>43.4</v>
      </c>
      <c r="D435" s="574">
        <v>43.4</v>
      </c>
    </row>
    <row r="436" spans="1:4" ht="15.75">
      <c r="A436" s="626">
        <v>30752</v>
      </c>
      <c r="B436" s="587" t="s">
        <v>1091</v>
      </c>
      <c r="C436" s="574">
        <v>53.9</v>
      </c>
      <c r="D436" s="574">
        <v>53.9</v>
      </c>
    </row>
    <row r="437" spans="1:4" ht="16.5">
      <c r="A437" s="627">
        <v>30781</v>
      </c>
      <c r="B437" s="581" t="s">
        <v>1201</v>
      </c>
      <c r="C437" s="574">
        <v>35.15</v>
      </c>
      <c r="D437" s="574">
        <v>35.15</v>
      </c>
    </row>
    <row r="438" spans="1:4" ht="15.75">
      <c r="A438" s="626">
        <v>30784</v>
      </c>
      <c r="B438" s="581" t="s">
        <v>640</v>
      </c>
      <c r="C438" s="574">
        <v>29.15</v>
      </c>
      <c r="D438" s="574">
        <v>29.15</v>
      </c>
    </row>
    <row r="439" spans="1:4" ht="13.5">
      <c r="A439" s="609">
        <v>30804</v>
      </c>
      <c r="B439" s="587" t="s">
        <v>641</v>
      </c>
      <c r="C439" s="574">
        <v>27.5</v>
      </c>
      <c r="D439" s="574">
        <v>27.5</v>
      </c>
    </row>
    <row r="440" spans="1:4" ht="15.75">
      <c r="A440" s="626">
        <v>30815</v>
      </c>
      <c r="B440" s="587" t="s">
        <v>642</v>
      </c>
      <c r="C440" s="574">
        <v>85</v>
      </c>
      <c r="D440" s="574">
        <v>85</v>
      </c>
    </row>
    <row r="441" spans="1:4" ht="13.5">
      <c r="A441" s="609">
        <v>30824</v>
      </c>
      <c r="B441" s="582" t="s">
        <v>643</v>
      </c>
      <c r="C441" s="574">
        <v>138.75</v>
      </c>
      <c r="D441" s="574">
        <v>138.75</v>
      </c>
    </row>
    <row r="442" spans="1:4" ht="15.75">
      <c r="A442" s="626">
        <v>30827</v>
      </c>
      <c r="B442" s="587" t="s">
        <v>644</v>
      </c>
      <c r="C442" s="574">
        <v>217.5</v>
      </c>
      <c r="D442" s="574">
        <v>217.5</v>
      </c>
    </row>
    <row r="443" spans="1:4" ht="13.5">
      <c r="A443" s="609">
        <v>30850</v>
      </c>
      <c r="B443" s="587" t="s">
        <v>645</v>
      </c>
      <c r="C443" s="574">
        <v>131.25</v>
      </c>
      <c r="D443" s="574">
        <v>131.25</v>
      </c>
    </row>
    <row r="444" spans="1:4" ht="13.5">
      <c r="A444" s="609">
        <v>30852</v>
      </c>
      <c r="B444" s="587" t="s">
        <v>646</v>
      </c>
      <c r="C444" s="574">
        <v>16.4</v>
      </c>
      <c r="D444" s="574">
        <v>16.4</v>
      </c>
    </row>
    <row r="445" spans="1:4" ht="15.75">
      <c r="A445" s="626">
        <v>30853</v>
      </c>
      <c r="B445" s="575" t="s">
        <v>647</v>
      </c>
      <c r="C445" s="574">
        <v>31.5</v>
      </c>
      <c r="D445" s="574">
        <v>31.5</v>
      </c>
    </row>
    <row r="446" spans="1:4" ht="15.75">
      <c r="A446" s="626">
        <v>30854</v>
      </c>
      <c r="B446" s="581" t="s">
        <v>648</v>
      </c>
      <c r="C446" s="574">
        <v>12.65</v>
      </c>
      <c r="D446" s="574">
        <v>12.65</v>
      </c>
    </row>
    <row r="447" spans="1:4" ht="15.75">
      <c r="A447" s="626">
        <v>30855</v>
      </c>
      <c r="B447" s="600" t="s">
        <v>649</v>
      </c>
      <c r="C447" s="574">
        <v>12.2</v>
      </c>
      <c r="D447" s="574">
        <v>12.2</v>
      </c>
    </row>
    <row r="448" spans="1:4" ht="15.75">
      <c r="A448" s="626">
        <v>30858</v>
      </c>
      <c r="B448" s="581" t="s">
        <v>650</v>
      </c>
      <c r="C448" s="574">
        <v>18.15</v>
      </c>
      <c r="D448" s="574">
        <v>18.15</v>
      </c>
    </row>
    <row r="449" spans="1:4" ht="15.75">
      <c r="A449" s="626">
        <v>30866</v>
      </c>
      <c r="B449" s="581" t="s">
        <v>651</v>
      </c>
      <c r="C449" s="574">
        <v>33.75</v>
      </c>
      <c r="D449" s="574">
        <v>33.75</v>
      </c>
    </row>
    <row r="450" spans="1:4" ht="15.75">
      <c r="A450" s="626">
        <v>30877</v>
      </c>
      <c r="B450" s="582" t="s">
        <v>652</v>
      </c>
      <c r="C450" s="574">
        <v>11</v>
      </c>
      <c r="D450" s="574">
        <v>11</v>
      </c>
    </row>
    <row r="451" spans="1:4" ht="16.5" thickBot="1">
      <c r="A451" s="626">
        <v>30888</v>
      </c>
      <c r="B451" s="588" t="s">
        <v>653</v>
      </c>
      <c r="C451" s="574">
        <v>11.7</v>
      </c>
      <c r="D451" s="574">
        <v>11.7</v>
      </c>
    </row>
    <row r="452" spans="1:3" ht="13.5" thickTop="1">
      <c r="A452" s="998"/>
      <c r="B452" s="999"/>
      <c r="C452" s="999"/>
    </row>
    <row r="453" spans="1:3" ht="12.75">
      <c r="A453" s="1000"/>
      <c r="B453" s="645"/>
      <c r="C453" s="645"/>
    </row>
    <row r="454" spans="1:3" ht="12.75">
      <c r="A454" s="1000"/>
      <c r="B454" s="645"/>
      <c r="C454" s="645"/>
    </row>
    <row r="455" spans="1:3" ht="12.75">
      <c r="A455" s="1000"/>
      <c r="B455" s="645"/>
      <c r="C455" s="645"/>
    </row>
    <row r="456" spans="1:3" ht="12.75">
      <c r="A456" s="1000"/>
      <c r="B456" s="645"/>
      <c r="C456" s="645"/>
    </row>
    <row r="457" spans="1:3" ht="12.75">
      <c r="A457" s="1000"/>
      <c r="B457" s="645"/>
      <c r="C457" s="645"/>
    </row>
    <row r="458" spans="1:3" ht="12.75">
      <c r="A458" s="1000"/>
      <c r="B458" s="645"/>
      <c r="C458" s="645"/>
    </row>
    <row r="459" spans="1:3" ht="12.75">
      <c r="A459" s="1000"/>
      <c r="B459" s="645"/>
      <c r="C459" s="645"/>
    </row>
  </sheetData>
  <sheetProtection/>
  <mergeCells count="1">
    <mergeCell ref="A1:C1"/>
  </mergeCells>
  <printOptions horizontalCentered="1"/>
  <pageMargins left="0.51" right="0.51" top="0.49" bottom="0.37" header="0.31" footer="0.16"/>
  <pageSetup horizontalDpi="600" verticalDpi="600" orientation="portrait" scale="96" r:id="rId1"/>
  <rowBreaks count="3" manualBreakCount="3">
    <brk id="41" max="2" man="1"/>
    <brk id="353" max="2" man="1"/>
    <brk id="402" max="2" man="1"/>
  </rowBreaks>
</worksheet>
</file>

<file path=xl/worksheets/sheet10.xml><?xml version="1.0" encoding="utf-8"?>
<worksheet xmlns="http://schemas.openxmlformats.org/spreadsheetml/2006/main" xmlns:r="http://schemas.openxmlformats.org/officeDocument/2006/relationships">
  <dimension ref="A2:IJ1164"/>
  <sheetViews>
    <sheetView view="pageBreakPreview" zoomScale="75" zoomScaleSheetLayoutView="75" zoomScalePageLayoutView="0" workbookViewId="0" topLeftCell="A118">
      <selection activeCell="E100" sqref="E100"/>
    </sheetView>
  </sheetViews>
  <sheetFormatPr defaultColWidth="9.140625" defaultRowHeight="12.75"/>
  <cols>
    <col min="1" max="1" width="7.421875" style="87" customWidth="1"/>
    <col min="2" max="2" width="48.7109375" style="4" customWidth="1"/>
    <col min="3" max="3" width="5.00390625" style="2" customWidth="1"/>
    <col min="4" max="4" width="16.57421875" style="310" customWidth="1"/>
    <col min="5" max="5" width="11.140625" style="182" customWidth="1"/>
    <col min="6" max="6" width="16.140625" style="182" customWidth="1"/>
    <col min="7" max="16384" width="9.140625" style="4" customWidth="1"/>
  </cols>
  <sheetData>
    <row r="1" ht="11.25" customHeight="1"/>
    <row r="2" spans="1:6" s="7" customFormat="1" ht="19.5" customHeight="1">
      <c r="A2" s="1337" t="s">
        <v>176</v>
      </c>
      <c r="B2" s="1337"/>
      <c r="C2" s="1337"/>
      <c r="D2" s="1337"/>
      <c r="E2" s="184"/>
      <c r="F2" s="184"/>
    </row>
    <row r="3" spans="1:6" s="7" customFormat="1" ht="15.75" customHeight="1">
      <c r="A3" s="85"/>
      <c r="C3" s="5"/>
      <c r="D3" s="323"/>
      <c r="E3" s="184"/>
      <c r="F3" s="184"/>
    </row>
    <row r="4" spans="1:6" s="7" customFormat="1" ht="12.75">
      <c r="A4" s="85" t="s">
        <v>3149</v>
      </c>
      <c r="B4" s="9" t="s">
        <v>3150</v>
      </c>
      <c r="C4" s="5"/>
      <c r="D4" s="323"/>
      <c r="E4" s="184"/>
      <c r="F4" s="184"/>
    </row>
    <row r="5" spans="1:6" s="7" customFormat="1" ht="9.75" customHeight="1">
      <c r="A5" s="85"/>
      <c r="C5" s="5"/>
      <c r="D5" s="447"/>
      <c r="E5" s="184"/>
      <c r="F5" s="184"/>
    </row>
    <row r="6" spans="1:6" s="7" customFormat="1" ht="12.75">
      <c r="A6" s="85">
        <v>1</v>
      </c>
      <c r="B6" s="7" t="s">
        <v>3151</v>
      </c>
      <c r="C6" s="5" t="s">
        <v>3152</v>
      </c>
      <c r="D6" s="448">
        <f>F68</f>
        <v>625260.716115363</v>
      </c>
      <c r="E6" s="184"/>
      <c r="F6" s="184"/>
    </row>
    <row r="7" spans="1:6" s="7" customFormat="1" ht="12.75">
      <c r="A7" s="85"/>
      <c r="C7" s="5"/>
      <c r="D7" s="443"/>
      <c r="E7" s="184"/>
      <c r="F7" s="184"/>
    </row>
    <row r="8" spans="1:6" s="7" customFormat="1" ht="12.75">
      <c r="A8" s="85">
        <v>2</v>
      </c>
      <c r="B8" s="7" t="s">
        <v>3153</v>
      </c>
      <c r="C8" s="5" t="s">
        <v>3154</v>
      </c>
      <c r="D8" s="443">
        <f>F114</f>
        <v>4069923.8982282984</v>
      </c>
      <c r="E8" s="184"/>
      <c r="F8" s="184"/>
    </row>
    <row r="9" spans="1:6" s="7" customFormat="1" ht="12.75">
      <c r="A9" s="85"/>
      <c r="C9" s="5"/>
      <c r="D9" s="443"/>
      <c r="E9" s="184"/>
      <c r="F9" s="184"/>
    </row>
    <row r="10" spans="1:6" s="7" customFormat="1" ht="12.75">
      <c r="A10" s="85">
        <v>3</v>
      </c>
      <c r="B10" s="10" t="s">
        <v>3155</v>
      </c>
      <c r="C10" s="5" t="s">
        <v>3154</v>
      </c>
      <c r="D10" s="443">
        <f>F120</f>
        <v>88211.59682517238</v>
      </c>
      <c r="E10" s="184"/>
      <c r="F10" s="184"/>
    </row>
    <row r="11" spans="1:6" s="7" customFormat="1" ht="9.75" customHeight="1">
      <c r="A11" s="85"/>
      <c r="C11" s="5"/>
      <c r="D11" s="449"/>
      <c r="E11" s="184"/>
      <c r="F11" s="184"/>
    </row>
    <row r="12" spans="1:6" s="7" customFormat="1" ht="13.5" thickBot="1">
      <c r="A12" s="85"/>
      <c r="B12" s="11" t="s">
        <v>3156</v>
      </c>
      <c r="C12" s="5" t="s">
        <v>3154</v>
      </c>
      <c r="D12" s="450">
        <f>D6+D8+D10</f>
        <v>4783396.211168834</v>
      </c>
      <c r="E12" s="184"/>
      <c r="F12" s="184"/>
    </row>
    <row r="13" spans="1:6" s="7" customFormat="1" ht="10.5" customHeight="1" thickTop="1">
      <c r="A13" s="85"/>
      <c r="C13" s="5"/>
      <c r="D13" s="451"/>
      <c r="E13" s="184"/>
      <c r="F13" s="184"/>
    </row>
    <row r="14" spans="1:6" s="9" customFormat="1" ht="12.75">
      <c r="A14" s="85" t="s">
        <v>3157</v>
      </c>
      <c r="B14" s="9" t="s">
        <v>3158</v>
      </c>
      <c r="C14" s="12"/>
      <c r="D14" s="452"/>
      <c r="E14" s="426"/>
      <c r="F14" s="426"/>
    </row>
    <row r="15" spans="1:6" s="7" customFormat="1" ht="10.5" customHeight="1">
      <c r="A15" s="85"/>
      <c r="C15" s="5"/>
      <c r="D15" s="447"/>
      <c r="E15" s="184"/>
      <c r="F15" s="184"/>
    </row>
    <row r="16" spans="1:6" s="7" customFormat="1" ht="12.75">
      <c r="A16" s="85">
        <v>1</v>
      </c>
      <c r="B16" s="7" t="s">
        <v>3153</v>
      </c>
      <c r="C16" s="5" t="s">
        <v>3152</v>
      </c>
      <c r="D16" s="443">
        <f>F174</f>
        <v>12933921.90364055</v>
      </c>
      <c r="E16" s="184"/>
      <c r="F16" s="184"/>
    </row>
    <row r="17" spans="1:6" s="7" customFormat="1" ht="12.75">
      <c r="A17" s="85"/>
      <c r="C17" s="5"/>
      <c r="D17" s="443"/>
      <c r="E17" s="184"/>
      <c r="F17" s="184"/>
    </row>
    <row r="18" spans="1:6" s="7" customFormat="1" ht="12.75">
      <c r="A18" s="85">
        <v>2</v>
      </c>
      <c r="B18" s="7" t="s">
        <v>3159</v>
      </c>
      <c r="C18" s="5" t="s">
        <v>3154</v>
      </c>
      <c r="D18" s="443">
        <f>F184</f>
        <v>3269.658025634265</v>
      </c>
      <c r="E18" s="184"/>
      <c r="F18" s="184"/>
    </row>
    <row r="19" spans="1:6" s="7" customFormat="1" ht="12.75">
      <c r="A19" s="85"/>
      <c r="C19" s="5"/>
      <c r="D19" s="443"/>
      <c r="E19" s="184"/>
      <c r="F19" s="184"/>
    </row>
    <row r="20" spans="1:6" s="7" customFormat="1" ht="12.75">
      <c r="A20" s="85">
        <v>3</v>
      </c>
      <c r="B20" s="7" t="s">
        <v>3160</v>
      </c>
      <c r="C20" s="5" t="s">
        <v>3154</v>
      </c>
      <c r="D20" s="444">
        <f>F198</f>
        <v>522060.0161837277</v>
      </c>
      <c r="E20" s="184"/>
      <c r="F20" s="184"/>
    </row>
    <row r="21" spans="1:6" s="7" customFormat="1" ht="12.75">
      <c r="A21" s="85"/>
      <c r="C21" s="5"/>
      <c r="D21" s="444"/>
      <c r="E21" s="184"/>
      <c r="F21" s="184"/>
    </row>
    <row r="22" spans="1:6" s="7" customFormat="1" ht="12.75">
      <c r="A22" s="85">
        <v>4</v>
      </c>
      <c r="B22" s="7" t="s">
        <v>3161</v>
      </c>
      <c r="C22" s="5" t="s">
        <v>3154</v>
      </c>
      <c r="D22" s="443">
        <f>F210</f>
        <v>228527.66502439743</v>
      </c>
      <c r="E22" s="184"/>
      <c r="F22" s="184"/>
    </row>
    <row r="23" spans="1:6" s="7" customFormat="1" ht="12.75">
      <c r="A23" s="85"/>
      <c r="C23" s="5"/>
      <c r="D23" s="443"/>
      <c r="E23" s="184"/>
      <c r="F23" s="184"/>
    </row>
    <row r="24" spans="1:6" s="7" customFormat="1" ht="12.75">
      <c r="A24" s="85">
        <v>5</v>
      </c>
      <c r="B24" s="7" t="s">
        <v>3162</v>
      </c>
      <c r="C24" s="5" t="s">
        <v>3154</v>
      </c>
      <c r="D24" s="443">
        <f>F256</f>
        <v>4704563.588970251</v>
      </c>
      <c r="E24" s="184"/>
      <c r="F24" s="184"/>
    </row>
    <row r="25" spans="1:6" s="7" customFormat="1" ht="12.75">
      <c r="A25" s="85"/>
      <c r="C25" s="5"/>
      <c r="D25" s="443"/>
      <c r="E25" s="184"/>
      <c r="F25" s="184"/>
    </row>
    <row r="26" spans="1:6" s="7" customFormat="1" ht="12.75">
      <c r="A26" s="85">
        <v>6</v>
      </c>
      <c r="B26" s="7" t="s">
        <v>3163</v>
      </c>
      <c r="C26" s="5" t="s">
        <v>3154</v>
      </c>
      <c r="D26" s="443">
        <f>F309</f>
        <v>4284149.23279804</v>
      </c>
      <c r="E26" s="184"/>
      <c r="F26" s="184"/>
    </row>
    <row r="27" spans="1:6" s="7" customFormat="1" ht="12.75">
      <c r="A27" s="85"/>
      <c r="C27" s="5"/>
      <c r="D27" s="443"/>
      <c r="E27" s="184"/>
      <c r="F27" s="184"/>
    </row>
    <row r="28" spans="1:6" s="13" customFormat="1" ht="12.75">
      <c r="A28" s="167">
        <v>7</v>
      </c>
      <c r="B28" s="13" t="s">
        <v>3164</v>
      </c>
      <c r="C28" s="14" t="s">
        <v>3154</v>
      </c>
      <c r="D28" s="445">
        <f>F318</f>
        <v>294215.0957182003</v>
      </c>
      <c r="E28" s="65"/>
      <c r="F28" s="65"/>
    </row>
    <row r="29" spans="1:6" s="13" customFormat="1" ht="12.75">
      <c r="A29" s="167"/>
      <c r="C29" s="14"/>
      <c r="D29" s="444"/>
      <c r="E29" s="65"/>
      <c r="F29" s="65"/>
    </row>
    <row r="30" spans="1:6" s="7" customFormat="1" ht="12.75">
      <c r="A30" s="85">
        <v>8</v>
      </c>
      <c r="B30" s="7" t="s">
        <v>3165</v>
      </c>
      <c r="C30" s="5" t="s">
        <v>3154</v>
      </c>
      <c r="D30" s="443">
        <f>F334</f>
        <v>383038.69101257226</v>
      </c>
      <c r="E30" s="184"/>
      <c r="F30" s="184"/>
    </row>
    <row r="31" spans="1:6" s="7" customFormat="1" ht="12.75">
      <c r="A31" s="85"/>
      <c r="B31" s="4"/>
      <c r="C31" s="5"/>
      <c r="D31" s="443"/>
      <c r="E31" s="184"/>
      <c r="F31" s="184"/>
    </row>
    <row r="32" spans="1:6" s="7" customFormat="1" ht="12.75">
      <c r="A32" s="85">
        <v>9</v>
      </c>
      <c r="B32" s="7" t="s">
        <v>3166</v>
      </c>
      <c r="C32" s="5" t="s">
        <v>3154</v>
      </c>
      <c r="D32" s="324">
        <f>F1010</f>
        <v>950999.7891430994</v>
      </c>
      <c r="E32" s="184"/>
      <c r="F32" s="184"/>
    </row>
    <row r="33" spans="1:6" s="7" customFormat="1" ht="12.75">
      <c r="A33" s="85"/>
      <c r="C33" s="5"/>
      <c r="D33" s="324"/>
      <c r="E33" s="184"/>
      <c r="F33" s="184"/>
    </row>
    <row r="34" spans="1:6" s="7" customFormat="1" ht="12.75">
      <c r="A34" s="85">
        <v>10</v>
      </c>
      <c r="B34" s="7" t="s">
        <v>3167</v>
      </c>
      <c r="C34" s="5" t="s">
        <v>3154</v>
      </c>
      <c r="D34" s="324">
        <f>F1163</f>
        <v>277886.2381132649</v>
      </c>
      <c r="E34" s="184"/>
      <c r="F34" s="184"/>
    </row>
    <row r="35" spans="1:6" s="7" customFormat="1" ht="11.25" customHeight="1">
      <c r="A35" s="85"/>
      <c r="C35" s="5"/>
      <c r="D35" s="324"/>
      <c r="E35" s="184"/>
      <c r="F35" s="184"/>
    </row>
    <row r="36" spans="1:6" s="7" customFormat="1" ht="10.5" customHeight="1">
      <c r="A36" s="85"/>
      <c r="B36" s="4"/>
      <c r="C36" s="5"/>
      <c r="D36" s="324"/>
      <c r="E36" s="184"/>
      <c r="F36" s="184"/>
    </row>
    <row r="37" spans="1:6" s="7" customFormat="1" ht="13.5" thickBot="1">
      <c r="A37" s="85"/>
      <c r="B37" s="11" t="s">
        <v>3168</v>
      </c>
      <c r="C37" s="5" t="s">
        <v>3154</v>
      </c>
      <c r="D37" s="326">
        <f>SUM(D15:D36)</f>
        <v>24582631.87862974</v>
      </c>
      <c r="E37" s="184"/>
      <c r="F37" s="184"/>
    </row>
    <row r="38" spans="1:6" s="7" customFormat="1" ht="11.25" customHeight="1" thickTop="1">
      <c r="A38" s="85"/>
      <c r="B38" s="11"/>
      <c r="C38" s="5"/>
      <c r="D38" s="330"/>
      <c r="E38" s="184"/>
      <c r="F38" s="184"/>
    </row>
    <row r="39" spans="1:6" s="7" customFormat="1" ht="13.5" thickBot="1">
      <c r="A39" s="85"/>
      <c r="B39" s="11" t="s">
        <v>3169</v>
      </c>
      <c r="C39" s="5" t="s">
        <v>3154</v>
      </c>
      <c r="D39" s="331">
        <f>D37+D12</f>
        <v>29366028.089798573</v>
      </c>
      <c r="E39" s="184"/>
      <c r="F39" s="184"/>
    </row>
    <row r="40" spans="1:6" s="7" customFormat="1" ht="13.5" thickTop="1">
      <c r="A40" s="85"/>
      <c r="B40" s="11"/>
      <c r="C40" s="5"/>
      <c r="D40" s="329"/>
      <c r="E40" s="184"/>
      <c r="F40" s="184"/>
    </row>
    <row r="41" spans="1:6" s="7" customFormat="1" ht="12.75">
      <c r="A41" s="85"/>
      <c r="B41" s="16"/>
      <c r="C41" s="5"/>
      <c r="D41" s="329"/>
      <c r="E41" s="184"/>
      <c r="F41" s="184"/>
    </row>
    <row r="42" spans="1:4" ht="12.75">
      <c r="A42" s="17"/>
      <c r="B42" s="18"/>
      <c r="C42" s="19"/>
      <c r="D42" s="298"/>
    </row>
    <row r="43" spans="1:9" s="7" customFormat="1" ht="12.75">
      <c r="A43" s="21" t="s">
        <v>3174</v>
      </c>
      <c r="B43" s="21" t="s">
        <v>3175</v>
      </c>
      <c r="C43" s="22" t="s">
        <v>3176</v>
      </c>
      <c r="D43" s="296" t="s">
        <v>3177</v>
      </c>
      <c r="E43" s="427" t="s">
        <v>3178</v>
      </c>
      <c r="F43" s="427" t="s">
        <v>3179</v>
      </c>
      <c r="G43" s="13"/>
      <c r="H43" s="13"/>
      <c r="I43" s="13"/>
    </row>
    <row r="44" spans="1:9" s="7" customFormat="1" ht="1.5" customHeight="1">
      <c r="A44" s="21"/>
      <c r="B44" s="24"/>
      <c r="C44" s="22"/>
      <c r="D44" s="296"/>
      <c r="E44" s="65"/>
      <c r="F44" s="65"/>
      <c r="G44" s="13"/>
      <c r="H44" s="13"/>
      <c r="I44" s="13"/>
    </row>
    <row r="45" spans="1:9" ht="12.75">
      <c r="A45" s="17"/>
      <c r="B45" s="18"/>
      <c r="C45" s="19"/>
      <c r="D45" s="298"/>
      <c r="E45" s="54"/>
      <c r="F45" s="54"/>
      <c r="G45" s="18"/>
      <c r="H45" s="18"/>
      <c r="I45" s="18"/>
    </row>
    <row r="46" spans="1:4" ht="12.75">
      <c r="A46" s="242" t="s">
        <v>3149</v>
      </c>
      <c r="B46" s="25" t="s">
        <v>3150</v>
      </c>
      <c r="C46" s="19"/>
      <c r="D46" s="301"/>
    </row>
    <row r="47" spans="1:4" ht="12.75">
      <c r="A47" s="242"/>
      <c r="B47" s="27"/>
      <c r="C47" s="19"/>
      <c r="D47" s="301"/>
    </row>
    <row r="48" spans="1:4" ht="12.75">
      <c r="A48" s="243">
        <v>1</v>
      </c>
      <c r="B48" s="28" t="s">
        <v>3151</v>
      </c>
      <c r="C48" s="19"/>
      <c r="D48" s="301"/>
    </row>
    <row r="49" spans="1:4" ht="12.75">
      <c r="A49" s="243"/>
      <c r="B49" s="27"/>
      <c r="C49" s="19"/>
      <c r="D49" s="301"/>
    </row>
    <row r="50" spans="1:6" ht="14.25">
      <c r="A50" s="244">
        <v>1.1</v>
      </c>
      <c r="B50" s="27" t="s">
        <v>1564</v>
      </c>
      <c r="C50" s="19" t="s">
        <v>1565</v>
      </c>
      <c r="D50" s="301">
        <v>782.24</v>
      </c>
      <c r="E50" s="182">
        <f>'Cost break dow.'!V12</f>
        <v>7.114086000118828</v>
      </c>
      <c r="F50" s="182">
        <f>D50*E50</f>
        <v>5564.9226327329525</v>
      </c>
    </row>
    <row r="51" spans="1:4" ht="12.75">
      <c r="A51" s="244"/>
      <c r="B51" s="27"/>
      <c r="C51" s="19"/>
      <c r="D51" s="301"/>
    </row>
    <row r="52" spans="1:6" ht="25.5">
      <c r="A52" s="199">
        <v>1.2</v>
      </c>
      <c r="B52" s="27" t="s">
        <v>1566</v>
      </c>
      <c r="C52" s="19" t="s">
        <v>1567</v>
      </c>
      <c r="D52" s="301">
        <v>782.24</v>
      </c>
      <c r="E52" s="178">
        <f>'Cost break dow.'!V23</f>
        <v>77.26276732569973</v>
      </c>
      <c r="F52" s="178">
        <f>D52*E52</f>
        <v>60438.02711285536</v>
      </c>
    </row>
    <row r="53" spans="1:6" ht="11.25" customHeight="1">
      <c r="A53" s="199"/>
      <c r="B53" s="27"/>
      <c r="C53" s="19"/>
      <c r="D53" s="301"/>
      <c r="E53" s="178"/>
      <c r="F53" s="178"/>
    </row>
    <row r="54" spans="1:6" ht="25.5">
      <c r="A54" s="244">
        <v>1.3</v>
      </c>
      <c r="B54" s="27" t="s">
        <v>3025</v>
      </c>
      <c r="C54" s="19" t="s">
        <v>1567</v>
      </c>
      <c r="D54" s="301">
        <v>587.43</v>
      </c>
      <c r="E54" s="178">
        <f>'Cost break dow.'!V33</f>
        <v>77.26276732569973</v>
      </c>
      <c r="F54" s="178">
        <f>D54*E54</f>
        <v>45386.46741013579</v>
      </c>
    </row>
    <row r="55" spans="2:6" ht="12.75">
      <c r="B55" s="27"/>
      <c r="C55" s="19"/>
      <c r="D55" s="301"/>
      <c r="E55" s="178"/>
      <c r="F55" s="178"/>
    </row>
    <row r="56" spans="1:6" ht="25.5">
      <c r="A56" s="244">
        <v>1.4</v>
      </c>
      <c r="B56" s="27" t="s">
        <v>1568</v>
      </c>
      <c r="C56" s="19" t="s">
        <v>1567</v>
      </c>
      <c r="D56" s="301">
        <v>587.43</v>
      </c>
      <c r="E56" s="178">
        <f>'Cost break dow.'!V38</f>
        <v>106.44199323197961</v>
      </c>
      <c r="F56" s="178">
        <f>D56*E56</f>
        <v>62527.220084261775</v>
      </c>
    </row>
    <row r="57" spans="1:6" ht="12.75">
      <c r="A57" s="244"/>
      <c r="B57" s="27"/>
      <c r="C57" s="19"/>
      <c r="D57" s="301"/>
      <c r="E57" s="178"/>
      <c r="F57" s="178"/>
    </row>
    <row r="58" spans="1:6" ht="45" customHeight="1">
      <c r="A58" s="199">
        <v>1.5</v>
      </c>
      <c r="B58" s="84" t="s">
        <v>2160</v>
      </c>
      <c r="C58" s="19" t="s">
        <v>1567</v>
      </c>
      <c r="D58" s="301">
        <v>25.44</v>
      </c>
      <c r="E58" s="178">
        <f>'Cost break dow.'!V23</f>
        <v>77.26276732569973</v>
      </c>
      <c r="F58" s="178">
        <f>D58*E58</f>
        <v>1965.5648007658012</v>
      </c>
    </row>
    <row r="59" spans="1:10" s="43" customFormat="1" ht="15" customHeight="1">
      <c r="A59" s="199"/>
      <c r="B59" s="84"/>
      <c r="C59" s="19"/>
      <c r="D59" s="301"/>
      <c r="E59" s="433"/>
      <c r="F59" s="178"/>
      <c r="G59" s="72"/>
      <c r="H59" s="72"/>
      <c r="I59" s="72"/>
      <c r="J59" s="72"/>
    </row>
    <row r="60" spans="1:6" ht="57" customHeight="1">
      <c r="A60" s="199">
        <v>1.6</v>
      </c>
      <c r="B60" s="27" t="s">
        <v>1569</v>
      </c>
      <c r="C60" s="19" t="s">
        <v>1567</v>
      </c>
      <c r="D60" s="301">
        <v>967.18</v>
      </c>
      <c r="E60" s="178">
        <f>'Cost break dow.'!V48</f>
        <v>126.28523433499151</v>
      </c>
      <c r="F60" s="178">
        <f>D60*E60</f>
        <v>122140.55294411708</v>
      </c>
    </row>
    <row r="61" spans="1:4" ht="11.25" customHeight="1">
      <c r="A61" s="4"/>
      <c r="B61" s="27"/>
      <c r="C61" s="19"/>
      <c r="D61" s="301"/>
    </row>
    <row r="62" spans="1:6" ht="14.25">
      <c r="A62" s="244">
        <v>1.7</v>
      </c>
      <c r="B62" s="27" t="s">
        <v>1570</v>
      </c>
      <c r="C62" s="19" t="s">
        <v>1567</v>
      </c>
      <c r="D62" s="301">
        <v>364.34</v>
      </c>
      <c r="E62" s="182">
        <f>'Cost break dow.'!V48</f>
        <v>126.28523433499151</v>
      </c>
      <c r="F62" s="182">
        <f>D62*E62</f>
        <v>46010.762277610804</v>
      </c>
    </row>
    <row r="63" spans="1:4" ht="12.75">
      <c r="A63" s="186"/>
      <c r="B63" s="27"/>
      <c r="C63" s="19"/>
      <c r="D63" s="301"/>
    </row>
    <row r="64" spans="1:6" ht="14.25">
      <c r="A64" s="199">
        <v>1.8</v>
      </c>
      <c r="B64" s="27" t="s">
        <v>1571</v>
      </c>
      <c r="C64" s="19" t="s">
        <v>1567</v>
      </c>
      <c r="D64" s="301">
        <v>2138.99</v>
      </c>
      <c r="E64" s="182">
        <f>'Cost break dow.'!V54</f>
        <v>97.80008633385177</v>
      </c>
      <c r="F64" s="182">
        <f>D64*E64</f>
        <v>209193.40666724558</v>
      </c>
    </row>
    <row r="65" spans="1:4" ht="12.75">
      <c r="A65" s="199"/>
      <c r="B65" s="27"/>
      <c r="C65" s="19"/>
      <c r="D65" s="301"/>
    </row>
    <row r="66" spans="1:6" ht="34.5" customHeight="1">
      <c r="A66" s="244">
        <v>1.9</v>
      </c>
      <c r="B66" s="27" t="s">
        <v>1572</v>
      </c>
      <c r="C66" s="19" t="s">
        <v>1565</v>
      </c>
      <c r="D66" s="301">
        <v>560.53</v>
      </c>
      <c r="E66" s="178">
        <f>'Cost break dow.'!V59</f>
        <v>128.5101460860932</v>
      </c>
      <c r="F66" s="178">
        <f>D66*E66</f>
        <v>72033.79218563781</v>
      </c>
    </row>
    <row r="67" spans="1:4" ht="12.75">
      <c r="A67" s="186"/>
      <c r="B67" s="29"/>
      <c r="C67" s="19"/>
      <c r="D67" s="301"/>
    </row>
    <row r="68" spans="1:6" ht="12.75">
      <c r="A68" s="199"/>
      <c r="B68" s="441" t="s">
        <v>1573</v>
      </c>
      <c r="C68" s="19"/>
      <c r="D68" s="301"/>
      <c r="F68" s="1339">
        <f>SUM(F49:F67)</f>
        <v>625260.716115363</v>
      </c>
    </row>
    <row r="69" spans="1:4" ht="11.25" customHeight="1">
      <c r="A69" s="199"/>
      <c r="B69" s="31"/>
      <c r="C69" s="19"/>
      <c r="D69" s="301"/>
    </row>
    <row r="70" spans="1:6" s="7" customFormat="1" ht="12.75">
      <c r="A70" s="243" t="s">
        <v>1574</v>
      </c>
      <c r="B70" s="28" t="s">
        <v>3153</v>
      </c>
      <c r="C70" s="14"/>
      <c r="D70" s="303"/>
      <c r="E70" s="184"/>
      <c r="F70" s="182"/>
    </row>
    <row r="71" spans="1:4" ht="9.75" customHeight="1">
      <c r="A71" s="186"/>
      <c r="B71" s="29"/>
      <c r="C71" s="19"/>
      <c r="D71" s="301"/>
    </row>
    <row r="72" spans="1:4" ht="12.75">
      <c r="A72" s="186"/>
      <c r="B72" s="27" t="s">
        <v>1575</v>
      </c>
      <c r="C72" s="19"/>
      <c r="D72" s="301"/>
    </row>
    <row r="73" spans="1:4" ht="12.75">
      <c r="A73" s="186"/>
      <c r="B73" s="27"/>
      <c r="C73" s="19"/>
      <c r="D73" s="301"/>
    </row>
    <row r="74" spans="1:6" ht="14.25">
      <c r="A74" s="186">
        <v>2.1</v>
      </c>
      <c r="B74" s="27" t="s">
        <v>1576</v>
      </c>
      <c r="C74" s="19" t="s">
        <v>1565</v>
      </c>
      <c r="D74" s="301">
        <v>239.74</v>
      </c>
      <c r="E74" s="182">
        <f>'Cost break dow.'!V75*0.05</f>
        <v>71.15213622038112</v>
      </c>
      <c r="F74" s="182">
        <f>D74*E74</f>
        <v>17058.013137474172</v>
      </c>
    </row>
    <row r="75" spans="1:4" ht="12.75">
      <c r="A75" s="186"/>
      <c r="B75" s="27"/>
      <c r="C75" s="19"/>
      <c r="D75" s="301"/>
    </row>
    <row r="76" spans="1:6" ht="14.25">
      <c r="A76" s="186">
        <v>2.2</v>
      </c>
      <c r="B76" s="27" t="s">
        <v>3009</v>
      </c>
      <c r="C76" s="19" t="s">
        <v>1565</v>
      </c>
      <c r="D76" s="301">
        <v>62.62</v>
      </c>
      <c r="E76" s="182">
        <f>E74</f>
        <v>71.15213622038112</v>
      </c>
      <c r="F76" s="182">
        <f>D76*E76</f>
        <v>4455.546770120266</v>
      </c>
    </row>
    <row r="77" spans="1:4" ht="12.75">
      <c r="A77" s="186"/>
      <c r="B77" s="27"/>
      <c r="C77" s="19"/>
      <c r="D77" s="301"/>
    </row>
    <row r="78" spans="1:6" ht="14.25">
      <c r="A78" s="186">
        <v>2.3</v>
      </c>
      <c r="B78" s="27" t="s">
        <v>3010</v>
      </c>
      <c r="C78" s="19" t="s">
        <v>1565</v>
      </c>
      <c r="D78" s="301">
        <v>25.02</v>
      </c>
      <c r="E78" s="182">
        <f>E76</f>
        <v>71.15213622038112</v>
      </c>
      <c r="F78" s="182">
        <f>D78*E78</f>
        <v>1780.2264482339356</v>
      </c>
    </row>
    <row r="79" spans="1:4" ht="9" customHeight="1">
      <c r="A79" s="186"/>
      <c r="B79" s="27"/>
      <c r="C79" s="19"/>
      <c r="D79" s="301"/>
    </row>
    <row r="80" spans="1:4" ht="42.75" customHeight="1">
      <c r="A80" s="17"/>
      <c r="B80" s="27" t="s">
        <v>1070</v>
      </c>
      <c r="C80" s="19"/>
      <c r="D80" s="301"/>
    </row>
    <row r="81" spans="1:4" ht="12.75">
      <c r="A81" s="17"/>
      <c r="B81" s="27"/>
      <c r="C81" s="19"/>
      <c r="D81" s="301"/>
    </row>
    <row r="82" spans="1:6" ht="14.25" customHeight="1">
      <c r="A82" s="186">
        <v>2.4</v>
      </c>
      <c r="B82" s="27" t="s">
        <v>1071</v>
      </c>
      <c r="C82" s="19" t="s">
        <v>1567</v>
      </c>
      <c r="D82" s="301">
        <v>191.19</v>
      </c>
      <c r="E82" s="182">
        <f>'Cost break dow.'!V102</f>
        <v>2350.4052110607972</v>
      </c>
      <c r="F82" s="182">
        <f>D82*E82</f>
        <v>449373.97230271384</v>
      </c>
    </row>
    <row r="83" spans="1:4" ht="10.5" customHeight="1">
      <c r="A83" s="186"/>
      <c r="B83" s="27"/>
      <c r="C83" s="19"/>
      <c r="D83" s="301"/>
    </row>
    <row r="84" spans="1:6" ht="15.75" customHeight="1">
      <c r="A84" s="186">
        <v>2.5</v>
      </c>
      <c r="B84" s="27" t="s">
        <v>1072</v>
      </c>
      <c r="C84" s="19" t="s">
        <v>1567</v>
      </c>
      <c r="D84" s="301">
        <v>16.49</v>
      </c>
      <c r="E84" s="182">
        <f>E82</f>
        <v>2350.4052110607972</v>
      </c>
      <c r="F84" s="182">
        <f>D84*E84</f>
        <v>38758.181930392544</v>
      </c>
    </row>
    <row r="85" spans="1:4" ht="10.5" customHeight="1">
      <c r="A85" s="186"/>
      <c r="B85" s="27"/>
      <c r="C85" s="19"/>
      <c r="D85" s="301"/>
    </row>
    <row r="86" spans="1:6" ht="14.25">
      <c r="A86" s="186">
        <v>2.6</v>
      </c>
      <c r="B86" s="27" t="s">
        <v>1671</v>
      </c>
      <c r="C86" s="19" t="s">
        <v>1567</v>
      </c>
      <c r="D86" s="298">
        <v>38.66</v>
      </c>
      <c r="E86" s="182">
        <f>E84</f>
        <v>2350.4052110607972</v>
      </c>
      <c r="F86" s="182">
        <f>D86*E86</f>
        <v>90866.66545961042</v>
      </c>
    </row>
    <row r="87" spans="1:4" ht="10.5" customHeight="1">
      <c r="A87" s="186"/>
      <c r="B87" s="27"/>
      <c r="C87" s="19"/>
      <c r="D87" s="298"/>
    </row>
    <row r="88" spans="1:6" ht="14.25">
      <c r="A88" s="186">
        <v>2.7</v>
      </c>
      <c r="B88" s="27" t="s">
        <v>1672</v>
      </c>
      <c r="C88" s="19" t="s">
        <v>1565</v>
      </c>
      <c r="D88" s="301">
        <v>560.3</v>
      </c>
      <c r="E88" s="182">
        <f>E86</f>
        <v>2350.4052110607972</v>
      </c>
      <c r="F88" s="182">
        <f>D88*E88</f>
        <v>1316932.0397573647</v>
      </c>
    </row>
    <row r="89" spans="1:6" s="36" customFormat="1" ht="10.5" customHeight="1">
      <c r="A89" s="165"/>
      <c r="B89" s="33"/>
      <c r="C89" s="34"/>
      <c r="D89" s="305"/>
      <c r="E89" s="428"/>
      <c r="F89" s="182"/>
    </row>
    <row r="90" spans="1:4" ht="15" customHeight="1">
      <c r="A90" s="186"/>
      <c r="B90" s="27" t="s">
        <v>1673</v>
      </c>
      <c r="C90" s="19"/>
      <c r="D90" s="301"/>
    </row>
    <row r="91" spans="1:4" ht="6.75" customHeight="1">
      <c r="A91" s="186"/>
      <c r="B91" s="27"/>
      <c r="C91" s="19"/>
      <c r="D91" s="301"/>
    </row>
    <row r="92" spans="1:6" ht="14.25">
      <c r="A92" s="245">
        <v>2.8</v>
      </c>
      <c r="B92" s="27" t="s">
        <v>1674</v>
      </c>
      <c r="C92" s="19" t="s">
        <v>1565</v>
      </c>
      <c r="D92" s="301">
        <v>211.97</v>
      </c>
      <c r="E92" s="182">
        <f>'Cost break dow.'!V118</f>
        <v>290.32734629873335</v>
      </c>
      <c r="F92" s="182">
        <f>D92*E92</f>
        <v>61540.68759494251</v>
      </c>
    </row>
    <row r="93" spans="1:4" ht="11.25" customHeight="1">
      <c r="A93" s="186"/>
      <c r="B93" s="27"/>
      <c r="C93" s="19"/>
      <c r="D93" s="301"/>
    </row>
    <row r="94" spans="1:6" ht="14.25">
      <c r="A94" s="186">
        <v>2.9</v>
      </c>
      <c r="B94" s="29" t="s">
        <v>1675</v>
      </c>
      <c r="C94" s="19" t="s">
        <v>1565</v>
      </c>
      <c r="D94" s="301">
        <v>117.82</v>
      </c>
      <c r="E94" s="182">
        <f>E92</f>
        <v>290.32734629873335</v>
      </c>
      <c r="F94" s="182">
        <f>D94*E94</f>
        <v>34206.36794091676</v>
      </c>
    </row>
    <row r="95" spans="1:4" ht="9.75" customHeight="1">
      <c r="A95" s="186"/>
      <c r="B95" s="29"/>
      <c r="C95" s="19"/>
      <c r="D95" s="301"/>
    </row>
    <row r="96" spans="1:6" ht="14.25">
      <c r="A96" s="187">
        <v>2.1</v>
      </c>
      <c r="B96" s="27" t="s">
        <v>1676</v>
      </c>
      <c r="C96" s="19" t="s">
        <v>1565</v>
      </c>
      <c r="D96" s="301">
        <v>257.81</v>
      </c>
      <c r="E96" s="182">
        <f>E92</f>
        <v>290.32734629873335</v>
      </c>
      <c r="F96" s="182">
        <f>D96*E96</f>
        <v>74849.29314927645</v>
      </c>
    </row>
    <row r="97" spans="1:4" ht="9.75" customHeight="1">
      <c r="A97" s="186"/>
      <c r="B97" s="27"/>
      <c r="C97" s="19"/>
      <c r="D97" s="301"/>
    </row>
    <row r="98" spans="1:4" ht="38.25">
      <c r="A98" s="186"/>
      <c r="B98" s="27" t="s">
        <v>85</v>
      </c>
      <c r="C98" s="19"/>
      <c r="D98" s="301"/>
    </row>
    <row r="99" spans="1:4" ht="10.5" customHeight="1">
      <c r="A99" s="186"/>
      <c r="B99" s="27"/>
      <c r="C99" s="19"/>
      <c r="D99" s="301"/>
    </row>
    <row r="100" spans="1:6" ht="15.75" customHeight="1">
      <c r="A100" s="186">
        <v>2.11</v>
      </c>
      <c r="B100" s="27" t="s">
        <v>3026</v>
      </c>
      <c r="C100" s="19" t="s">
        <v>86</v>
      </c>
      <c r="D100" s="301">
        <v>4089.08</v>
      </c>
      <c r="E100" s="182">
        <f>'Cost break dow.'!V125</f>
        <v>28.227542033120493</v>
      </c>
      <c r="F100" s="182">
        <f>D100*E100</f>
        <v>115424.67757679234</v>
      </c>
    </row>
    <row r="101" spans="1:4" ht="10.5" customHeight="1">
      <c r="A101" s="186"/>
      <c r="B101" s="27"/>
      <c r="C101" s="19"/>
      <c r="D101" s="301"/>
    </row>
    <row r="102" spans="1:6" ht="12.75">
      <c r="A102" s="186">
        <v>2.12</v>
      </c>
      <c r="B102" s="27" t="s">
        <v>3027</v>
      </c>
      <c r="C102" s="19" t="s">
        <v>86</v>
      </c>
      <c r="D102" s="301">
        <v>795.56</v>
      </c>
      <c r="E102" s="182">
        <f>E100</f>
        <v>28.227542033120493</v>
      </c>
      <c r="F102" s="182">
        <f>D102*E102</f>
        <v>22456.70333986934</v>
      </c>
    </row>
    <row r="103" spans="1:4" ht="11.25" customHeight="1">
      <c r="A103" s="186"/>
      <c r="B103" s="27"/>
      <c r="C103" s="19"/>
      <c r="D103" s="301"/>
    </row>
    <row r="104" spans="1:6" ht="12.75">
      <c r="A104" s="186">
        <v>2.13</v>
      </c>
      <c r="B104" s="27" t="s">
        <v>87</v>
      </c>
      <c r="C104" s="19" t="s">
        <v>86</v>
      </c>
      <c r="D104" s="301">
        <v>11011.22</v>
      </c>
      <c r="E104" s="182">
        <f>E102</f>
        <v>28.227542033120493</v>
      </c>
      <c r="F104" s="182">
        <f>D104*E104</f>
        <v>310819.67538593704</v>
      </c>
    </row>
    <row r="105" spans="1:4" ht="12.75">
      <c r="A105" s="186"/>
      <c r="B105" s="27"/>
      <c r="C105" s="19"/>
      <c r="D105" s="301"/>
    </row>
    <row r="106" spans="1:6" ht="12.75">
      <c r="A106" s="186">
        <v>2.14</v>
      </c>
      <c r="B106" s="27" t="s">
        <v>88</v>
      </c>
      <c r="C106" s="19" t="s">
        <v>86</v>
      </c>
      <c r="D106" s="301">
        <v>5551.05</v>
      </c>
      <c r="E106" s="182">
        <f>E104</f>
        <v>28.227542033120493</v>
      </c>
      <c r="F106" s="182">
        <f>D106*E106</f>
        <v>156692.49720295353</v>
      </c>
    </row>
    <row r="107" spans="1:4" ht="11.25" customHeight="1">
      <c r="A107" s="186"/>
      <c r="B107" s="27"/>
      <c r="C107" s="19"/>
      <c r="D107" s="301"/>
    </row>
    <row r="108" spans="1:6" ht="12.75">
      <c r="A108" s="186">
        <v>2.15</v>
      </c>
      <c r="B108" s="27" t="s">
        <v>89</v>
      </c>
      <c r="C108" s="19" t="s">
        <v>86</v>
      </c>
      <c r="D108" s="301">
        <v>933.89</v>
      </c>
      <c r="E108" s="182">
        <f>E106</f>
        <v>28.227542033120493</v>
      </c>
      <c r="F108" s="182">
        <f>D108*E108</f>
        <v>26361.419229310897</v>
      </c>
    </row>
    <row r="109" spans="1:4" ht="10.5" customHeight="1">
      <c r="A109" s="186"/>
      <c r="B109" s="27"/>
      <c r="C109" s="19"/>
      <c r="D109" s="301"/>
    </row>
    <row r="110" spans="1:6" ht="12.75">
      <c r="A110" s="186">
        <v>2.16</v>
      </c>
      <c r="B110" s="27" t="s">
        <v>90</v>
      </c>
      <c r="C110" s="19" t="s">
        <v>86</v>
      </c>
      <c r="D110" s="301">
        <v>55.41</v>
      </c>
      <c r="E110" s="182">
        <f>E108</f>
        <v>28.227542033120493</v>
      </c>
      <c r="F110" s="182">
        <f>D110*E110</f>
        <v>1564.0881040552065</v>
      </c>
    </row>
    <row r="111" spans="1:4" ht="9" customHeight="1">
      <c r="A111" s="186"/>
      <c r="B111" s="27"/>
      <c r="C111" s="19"/>
      <c r="D111" s="301"/>
    </row>
    <row r="112" spans="1:6" ht="12.75">
      <c r="A112" s="187">
        <v>2.17</v>
      </c>
      <c r="B112" s="27" t="s">
        <v>91</v>
      </c>
      <c r="C112" s="19" t="s">
        <v>86</v>
      </c>
      <c r="D112" s="301">
        <v>3410.23</v>
      </c>
      <c r="E112" s="182">
        <f>E110</f>
        <v>28.227542033120493</v>
      </c>
      <c r="F112" s="182">
        <f>D112*E112</f>
        <v>96262.41066760849</v>
      </c>
    </row>
    <row r="113" spans="1:4" ht="10.5" customHeight="1">
      <c r="A113" s="215"/>
      <c r="B113" s="27"/>
      <c r="C113" s="19"/>
      <c r="D113" s="301"/>
    </row>
    <row r="114" spans="1:6" ht="12.75">
      <c r="A114" s="199"/>
      <c r="B114" s="441" t="s">
        <v>93</v>
      </c>
      <c r="C114" s="19"/>
      <c r="D114" s="301"/>
      <c r="F114" s="1339">
        <f>SUM(F49:F113)</f>
        <v>4069923.8982282984</v>
      </c>
    </row>
    <row r="115" spans="1:4" ht="12" customHeight="1">
      <c r="A115" s="199"/>
      <c r="B115" s="31"/>
      <c r="C115" s="19"/>
      <c r="D115" s="301"/>
    </row>
    <row r="116" spans="1:6" s="36" customFormat="1" ht="12.75">
      <c r="A116" s="246">
        <v>3</v>
      </c>
      <c r="B116" s="10" t="s">
        <v>3155</v>
      </c>
      <c r="C116" s="34"/>
      <c r="D116" s="305"/>
      <c r="E116" s="428"/>
      <c r="F116" s="182"/>
    </row>
    <row r="117" spans="1:6" s="36" customFormat="1" ht="11.25" customHeight="1">
      <c r="A117" s="165"/>
      <c r="B117" s="33"/>
      <c r="C117" s="34"/>
      <c r="D117" s="305"/>
      <c r="E117" s="428"/>
      <c r="F117" s="182"/>
    </row>
    <row r="118" spans="1:6" s="36" customFormat="1" ht="30" customHeight="1">
      <c r="A118" s="165">
        <v>3.1</v>
      </c>
      <c r="B118" s="33" t="s">
        <v>2259</v>
      </c>
      <c r="C118" s="19" t="s">
        <v>1567</v>
      </c>
      <c r="D118" s="307">
        <v>62.62</v>
      </c>
      <c r="E118" s="435">
        <f>'Cost break dow.'!V136</f>
        <v>1408.680881909492</v>
      </c>
      <c r="F118" s="178">
        <f>D118*E118</f>
        <v>88211.59682517238</v>
      </c>
    </row>
    <row r="119" spans="1:6" s="36" customFormat="1" ht="10.5" customHeight="1">
      <c r="A119" s="165"/>
      <c r="B119" s="33"/>
      <c r="C119" s="19"/>
      <c r="D119" s="307"/>
      <c r="E119" s="428"/>
      <c r="F119" s="182"/>
    </row>
    <row r="120" spans="1:6" s="36" customFormat="1" ht="12.75">
      <c r="A120" s="165"/>
      <c r="B120" s="442" t="s">
        <v>2260</v>
      </c>
      <c r="C120" s="39"/>
      <c r="D120" s="307"/>
      <c r="E120" s="428"/>
      <c r="F120" s="426">
        <f>F118</f>
        <v>88211.59682517238</v>
      </c>
    </row>
    <row r="121" spans="1:6" s="36" customFormat="1" ht="12.75">
      <c r="A121" s="165"/>
      <c r="B121" s="38"/>
      <c r="C121" s="39"/>
      <c r="D121" s="307"/>
      <c r="E121" s="428"/>
      <c r="F121" s="182"/>
    </row>
    <row r="122" spans="1:6" s="7" customFormat="1" ht="12.75" customHeight="1">
      <c r="A122" s="242" t="s">
        <v>3157</v>
      </c>
      <c r="B122" s="25" t="s">
        <v>2261</v>
      </c>
      <c r="C122" s="14"/>
      <c r="D122" s="303"/>
      <c r="E122" s="184"/>
      <c r="F122" s="182"/>
    </row>
    <row r="123" spans="1:4" ht="10.5" customHeight="1">
      <c r="A123" s="186"/>
      <c r="B123" s="29"/>
      <c r="C123" s="19"/>
      <c r="D123" s="301"/>
    </row>
    <row r="124" spans="1:6" s="7" customFormat="1" ht="12.75">
      <c r="A124" s="243">
        <v>1</v>
      </c>
      <c r="B124" s="28" t="s">
        <v>3153</v>
      </c>
      <c r="C124" s="14"/>
      <c r="D124" s="303"/>
      <c r="E124" s="184"/>
      <c r="F124" s="182"/>
    </row>
    <row r="125" spans="1:4" ht="8.25" customHeight="1">
      <c r="A125" s="186"/>
      <c r="B125" s="27"/>
      <c r="C125" s="19"/>
      <c r="D125" s="301"/>
    </row>
    <row r="126" spans="1:4" ht="28.5" customHeight="1">
      <c r="A126" s="199"/>
      <c r="B126" s="27" t="s">
        <v>2262</v>
      </c>
      <c r="C126" s="19"/>
      <c r="D126" s="301"/>
    </row>
    <row r="127" spans="1:4" ht="8.25" customHeight="1">
      <c r="A127" s="186"/>
      <c r="B127" s="27"/>
      <c r="C127" s="19"/>
      <c r="D127" s="301"/>
    </row>
    <row r="128" spans="1:6" ht="14.25">
      <c r="A128" s="186">
        <v>1.1</v>
      </c>
      <c r="B128" s="27" t="s">
        <v>2263</v>
      </c>
      <c r="C128" s="19" t="s">
        <v>1567</v>
      </c>
      <c r="D128" s="301">
        <v>49</v>
      </c>
      <c r="E128" s="182">
        <f>'Cost break dow.'!V102</f>
        <v>2350.4052110607972</v>
      </c>
      <c r="F128" s="182">
        <f>D128*E128</f>
        <v>115169.85534197907</v>
      </c>
    </row>
    <row r="129" spans="1:4" ht="9" customHeight="1">
      <c r="A129" s="199"/>
      <c r="B129" s="27"/>
      <c r="C129" s="19"/>
      <c r="D129" s="301"/>
    </row>
    <row r="130" spans="1:6" ht="14.25">
      <c r="A130" s="199">
        <v>1.2</v>
      </c>
      <c r="B130" s="27" t="s">
        <v>1577</v>
      </c>
      <c r="C130" s="19" t="s">
        <v>1567</v>
      </c>
      <c r="D130" s="301">
        <v>391</v>
      </c>
      <c r="E130" s="182">
        <f>E128</f>
        <v>2350.4052110607972</v>
      </c>
      <c r="F130" s="182">
        <f>D130*E130</f>
        <v>919008.4375247717</v>
      </c>
    </row>
    <row r="131" spans="1:4" ht="8.25" customHeight="1">
      <c r="A131" s="199"/>
      <c r="B131" s="27"/>
      <c r="C131" s="19"/>
      <c r="D131" s="301"/>
    </row>
    <row r="132" spans="1:6" ht="14.25">
      <c r="A132" s="199">
        <v>1.3</v>
      </c>
      <c r="B132" s="27" t="s">
        <v>150</v>
      </c>
      <c r="C132" s="19" t="s">
        <v>1565</v>
      </c>
      <c r="D132" s="301">
        <v>2611</v>
      </c>
      <c r="E132" s="182">
        <f>E130</f>
        <v>2350.4052110607972</v>
      </c>
      <c r="F132" s="182">
        <f>D132*E132</f>
        <v>6136908.006079742</v>
      </c>
    </row>
    <row r="133" spans="1:4" ht="9.75" customHeight="1">
      <c r="A133" s="199"/>
      <c r="B133" s="27"/>
      <c r="C133" s="19"/>
      <c r="D133" s="301"/>
    </row>
    <row r="134" spans="1:6" ht="14.25">
      <c r="A134" s="199">
        <v>1.4</v>
      </c>
      <c r="B134" s="27" t="s">
        <v>1580</v>
      </c>
      <c r="C134" s="19" t="s">
        <v>3011</v>
      </c>
      <c r="D134" s="301">
        <v>30</v>
      </c>
      <c r="E134" s="182">
        <f>E132</f>
        <v>2350.4052110607972</v>
      </c>
      <c r="F134" s="182">
        <f>D134*E134</f>
        <v>70512.15633182392</v>
      </c>
    </row>
    <row r="135" spans="1:4" ht="6.75" customHeight="1">
      <c r="A135" s="186"/>
      <c r="B135" s="27"/>
      <c r="C135" s="4"/>
      <c r="D135" s="301"/>
    </row>
    <row r="136" spans="1:6" ht="15" customHeight="1">
      <c r="A136" s="186">
        <v>1.5</v>
      </c>
      <c r="B136" s="27" t="s">
        <v>2264</v>
      </c>
      <c r="C136" s="19" t="s">
        <v>1567</v>
      </c>
      <c r="D136" s="301">
        <v>28</v>
      </c>
      <c r="E136" s="182">
        <f>E134</f>
        <v>2350.4052110607972</v>
      </c>
      <c r="F136" s="182">
        <f>D136*E136</f>
        <v>65811.34590970233</v>
      </c>
    </row>
    <row r="137" spans="1:4" ht="10.5" customHeight="1">
      <c r="A137" s="199"/>
      <c r="B137" s="27"/>
      <c r="C137" s="19"/>
      <c r="D137" s="301"/>
    </row>
    <row r="138" spans="1:6" ht="14.25">
      <c r="A138" s="199">
        <v>1.6</v>
      </c>
      <c r="B138" s="27" t="s">
        <v>2265</v>
      </c>
      <c r="C138" s="19" t="s">
        <v>1565</v>
      </c>
      <c r="D138" s="301">
        <v>108</v>
      </c>
      <c r="E138" s="182">
        <f>'Cost break dow.'!V102*0.1</f>
        <v>235.04052110607972</v>
      </c>
      <c r="F138" s="182">
        <f>D138*E138</f>
        <v>25384.37627945661</v>
      </c>
    </row>
    <row r="139" spans="1:4" ht="6.75" customHeight="1">
      <c r="A139" s="199"/>
      <c r="B139" s="27"/>
      <c r="C139" s="19"/>
      <c r="D139" s="301"/>
    </row>
    <row r="140" spans="1:6" ht="14.25">
      <c r="A140" s="186">
        <v>1.7</v>
      </c>
      <c r="B140" s="27" t="s">
        <v>237</v>
      </c>
      <c r="C140" s="19" t="s">
        <v>1565</v>
      </c>
      <c r="D140" s="301">
        <v>230</v>
      </c>
      <c r="E140" s="182">
        <f>'Cost break dow.'!V102*0.2</f>
        <v>470.08104221215945</v>
      </c>
      <c r="F140" s="182">
        <f>D140*E140</f>
        <v>108118.63970879668</v>
      </c>
    </row>
    <row r="141" spans="1:4" ht="9" customHeight="1">
      <c r="A141" s="186"/>
      <c r="B141" s="27"/>
      <c r="C141" s="19"/>
      <c r="D141" s="301"/>
    </row>
    <row r="142" spans="1:4" ht="25.5">
      <c r="A142" s="247"/>
      <c r="B142" s="27" t="s">
        <v>238</v>
      </c>
      <c r="C142" s="19"/>
      <c r="D142" s="301"/>
    </row>
    <row r="143" spans="1:4" ht="9" customHeight="1">
      <c r="A143" s="199"/>
      <c r="B143" s="27"/>
      <c r="C143" s="19"/>
      <c r="D143" s="301"/>
    </row>
    <row r="144" spans="1:6" ht="14.25">
      <c r="A144" s="186">
        <v>1.8</v>
      </c>
      <c r="B144" s="27" t="s">
        <v>2263</v>
      </c>
      <c r="C144" s="19" t="s">
        <v>1565</v>
      </c>
      <c r="D144" s="301">
        <v>661</v>
      </c>
      <c r="E144" s="182">
        <f>'Cost break dow.'!V118</f>
        <v>290.32734629873335</v>
      </c>
      <c r="F144" s="182">
        <f>D144*E144</f>
        <v>191906.37590346273</v>
      </c>
    </row>
    <row r="145" spans="1:4" ht="8.25" customHeight="1">
      <c r="A145" s="199"/>
      <c r="B145" s="27"/>
      <c r="C145" s="19"/>
      <c r="D145" s="301"/>
    </row>
    <row r="146" spans="1:6" ht="14.25">
      <c r="A146" s="248">
        <v>1.9</v>
      </c>
      <c r="B146" s="27" t="s">
        <v>1577</v>
      </c>
      <c r="C146" s="19" t="s">
        <v>1565</v>
      </c>
      <c r="D146" s="301">
        <v>2221</v>
      </c>
      <c r="E146" s="182">
        <f>E144</f>
        <v>290.32734629873335</v>
      </c>
      <c r="F146" s="182">
        <f>D146*E146</f>
        <v>644817.0361294867</v>
      </c>
    </row>
    <row r="147" spans="1:4" ht="9" customHeight="1">
      <c r="A147" s="248"/>
      <c r="B147" s="27"/>
      <c r="C147" s="19"/>
      <c r="D147" s="301"/>
    </row>
    <row r="148" spans="1:6" ht="12.75" customHeight="1">
      <c r="A148" s="215">
        <v>1.1</v>
      </c>
      <c r="B148" s="27" t="s">
        <v>1578</v>
      </c>
      <c r="C148" s="19" t="s">
        <v>1565</v>
      </c>
      <c r="D148" s="301">
        <v>2611</v>
      </c>
      <c r="E148" s="182">
        <f>E146</f>
        <v>290.32734629873335</v>
      </c>
      <c r="F148" s="182">
        <f>D148*E148</f>
        <v>758044.7011859928</v>
      </c>
    </row>
    <row r="149" spans="1:4" ht="9.75" customHeight="1">
      <c r="A149" s="199"/>
      <c r="B149" s="27"/>
      <c r="C149" s="19"/>
      <c r="D149" s="301"/>
    </row>
    <row r="150" spans="1:6" ht="15.75" customHeight="1">
      <c r="A150" s="215">
        <v>1.11</v>
      </c>
      <c r="B150" s="27" t="s">
        <v>1579</v>
      </c>
      <c r="C150" s="19" t="s">
        <v>1565</v>
      </c>
      <c r="D150" s="301">
        <v>30</v>
      </c>
      <c r="E150" s="182">
        <f>E148</f>
        <v>290.32734629873335</v>
      </c>
      <c r="F150" s="182">
        <f>D150*E150</f>
        <v>8709.820388962</v>
      </c>
    </row>
    <row r="151" spans="1:4" ht="7.5" customHeight="1">
      <c r="A151" s="248"/>
      <c r="B151" s="27"/>
      <c r="C151" s="19"/>
      <c r="D151" s="301"/>
    </row>
    <row r="152" spans="1:6" ht="15.75" customHeight="1">
      <c r="A152" s="215">
        <v>1.12</v>
      </c>
      <c r="B152" s="27" t="s">
        <v>2264</v>
      </c>
      <c r="C152" s="19" t="s">
        <v>1565</v>
      </c>
      <c r="D152" s="301">
        <v>120</v>
      </c>
      <c r="E152" s="182">
        <f>E150</f>
        <v>290.32734629873335</v>
      </c>
      <c r="F152" s="182">
        <f>D152*E152</f>
        <v>34839.281555848</v>
      </c>
    </row>
    <row r="153" spans="1:4" ht="8.25" customHeight="1">
      <c r="A153" s="199"/>
      <c r="B153" s="27"/>
      <c r="C153" s="19"/>
      <c r="D153" s="301"/>
    </row>
    <row r="154" spans="1:6" ht="15.75" customHeight="1">
      <c r="A154" s="199">
        <v>1.13</v>
      </c>
      <c r="B154" s="27" t="s">
        <v>2265</v>
      </c>
      <c r="C154" s="19" t="s">
        <v>1565</v>
      </c>
      <c r="D154" s="301">
        <v>216</v>
      </c>
      <c r="E154" s="182">
        <f>E152</f>
        <v>290.32734629873335</v>
      </c>
      <c r="F154" s="182">
        <f>D154*E154</f>
        <v>62710.7068005264</v>
      </c>
    </row>
    <row r="155" spans="1:4" ht="9" customHeight="1">
      <c r="A155" s="199"/>
      <c r="B155" s="27"/>
      <c r="C155" s="19"/>
      <c r="D155" s="301"/>
    </row>
    <row r="156" spans="1:6" ht="14.25" customHeight="1">
      <c r="A156" s="215">
        <v>1.14</v>
      </c>
      <c r="B156" s="27" t="s">
        <v>237</v>
      </c>
      <c r="C156" s="19" t="s">
        <v>1565</v>
      </c>
      <c r="D156" s="301">
        <v>460</v>
      </c>
      <c r="E156" s="182">
        <f>E154</f>
        <v>290.32734629873335</v>
      </c>
      <c r="F156" s="182">
        <f>D156*E156</f>
        <v>133550.57929741734</v>
      </c>
    </row>
    <row r="157" spans="1:4" ht="7.5" customHeight="1">
      <c r="A157" s="186"/>
      <c r="B157" s="27"/>
      <c r="C157" s="19"/>
      <c r="D157" s="301"/>
    </row>
    <row r="158" spans="1:4" ht="39" customHeight="1">
      <c r="A158" s="186"/>
      <c r="B158" s="27" t="s">
        <v>85</v>
      </c>
      <c r="C158" s="19"/>
      <c r="D158" s="301"/>
    </row>
    <row r="159" spans="1:4" ht="9" customHeight="1">
      <c r="A159" s="186"/>
      <c r="B159" s="27"/>
      <c r="C159" s="19"/>
      <c r="D159" s="301"/>
    </row>
    <row r="160" spans="1:6" ht="15" customHeight="1">
      <c r="A160" s="187">
        <v>1.15</v>
      </c>
      <c r="B160" s="27" t="s">
        <v>1581</v>
      </c>
      <c r="C160" s="19" t="s">
        <v>86</v>
      </c>
      <c r="D160" s="301">
        <v>13159</v>
      </c>
      <c r="E160" s="182">
        <f>'Cost break dow.'!V125</f>
        <v>28.227542033120493</v>
      </c>
      <c r="F160" s="182">
        <f>D160*E160</f>
        <v>371446.2256138326</v>
      </c>
    </row>
    <row r="161" spans="1:4" ht="9" customHeight="1">
      <c r="A161" s="186"/>
      <c r="B161" s="27"/>
      <c r="C161" s="19"/>
      <c r="D161" s="301"/>
    </row>
    <row r="162" spans="1:6" ht="12.75">
      <c r="A162" s="187">
        <v>1.16</v>
      </c>
      <c r="B162" s="27" t="s">
        <v>1582</v>
      </c>
      <c r="C162" s="19" t="s">
        <v>86</v>
      </c>
      <c r="D162" s="301">
        <v>29937</v>
      </c>
      <c r="E162" s="182">
        <f>E160</f>
        <v>28.227542033120493</v>
      </c>
      <c r="F162" s="182">
        <f>D162*E162</f>
        <v>845047.9258455281</v>
      </c>
    </row>
    <row r="163" spans="2:4" ht="9" customHeight="1">
      <c r="B163" s="27"/>
      <c r="C163" s="19"/>
      <c r="D163" s="301"/>
    </row>
    <row r="164" spans="1:6" ht="12.75">
      <c r="A164" s="187">
        <v>1.17</v>
      </c>
      <c r="B164" s="27" t="s">
        <v>40</v>
      </c>
      <c r="C164" s="19" t="s">
        <v>86</v>
      </c>
      <c r="D164" s="301">
        <v>23797</v>
      </c>
      <c r="E164" s="182">
        <f>E162</f>
        <v>28.227542033120493</v>
      </c>
      <c r="F164" s="182">
        <f>D164*E164</f>
        <v>671730.8177621684</v>
      </c>
    </row>
    <row r="165" spans="2:4" ht="10.5" customHeight="1">
      <c r="B165" s="27"/>
      <c r="C165" s="19"/>
      <c r="D165" s="301"/>
    </row>
    <row r="166" spans="1:6" ht="12.75">
      <c r="A166" s="187">
        <v>1.18</v>
      </c>
      <c r="B166" s="27" t="s">
        <v>41</v>
      </c>
      <c r="C166" s="19" t="s">
        <v>86</v>
      </c>
      <c r="D166" s="301">
        <v>10364</v>
      </c>
      <c r="E166" s="182">
        <f>E164</f>
        <v>28.227542033120493</v>
      </c>
      <c r="F166" s="182">
        <f>D166*E166</f>
        <v>292550.2456312608</v>
      </c>
    </row>
    <row r="167" spans="2:4" ht="10.5" customHeight="1">
      <c r="B167" s="27"/>
      <c r="C167" s="19"/>
      <c r="D167" s="301"/>
    </row>
    <row r="168" spans="1:6" ht="12.75">
      <c r="A168" s="187">
        <v>1.19</v>
      </c>
      <c r="B168" s="27" t="s">
        <v>42</v>
      </c>
      <c r="C168" s="19" t="s">
        <v>86</v>
      </c>
      <c r="D168" s="301">
        <v>5742</v>
      </c>
      <c r="E168" s="182">
        <f>E166</f>
        <v>28.227542033120493</v>
      </c>
      <c r="F168" s="182">
        <f>D168*E168</f>
        <v>162082.54635417787</v>
      </c>
    </row>
    <row r="169" spans="2:4" ht="10.5" customHeight="1">
      <c r="B169" s="27"/>
      <c r="C169" s="19"/>
      <c r="D169" s="301"/>
    </row>
    <row r="170" spans="1:6" ht="12.75">
      <c r="A170" s="187">
        <v>1.2</v>
      </c>
      <c r="B170" s="27" t="s">
        <v>43</v>
      </c>
      <c r="C170" s="19" t="s">
        <v>86</v>
      </c>
      <c r="D170" s="301">
        <v>5416</v>
      </c>
      <c r="E170" s="182">
        <f>E168</f>
        <v>28.227542033120493</v>
      </c>
      <c r="F170" s="182">
        <f>D170*E170</f>
        <v>152880.3676513806</v>
      </c>
    </row>
    <row r="171" spans="1:4" ht="9" customHeight="1">
      <c r="A171" s="186"/>
      <c r="B171" s="27"/>
      <c r="C171" s="19"/>
      <c r="D171" s="301"/>
    </row>
    <row r="172" spans="1:6" ht="12" customHeight="1">
      <c r="A172" s="187">
        <v>1.21</v>
      </c>
      <c r="B172" s="27" t="s">
        <v>91</v>
      </c>
      <c r="C172" s="19" t="s">
        <v>86</v>
      </c>
      <c r="D172" s="301">
        <v>41190</v>
      </c>
      <c r="E172" s="182">
        <f>E170</f>
        <v>28.227542033120493</v>
      </c>
      <c r="F172" s="182">
        <f>D172*E172</f>
        <v>1162692.4563442331</v>
      </c>
    </row>
    <row r="173" spans="1:4" ht="8.25" customHeight="1">
      <c r="A173" s="187"/>
      <c r="B173" s="27"/>
      <c r="C173" s="19"/>
      <c r="D173" s="301"/>
    </row>
    <row r="174" spans="1:6" ht="12" customHeight="1">
      <c r="A174" s="199"/>
      <c r="B174" s="441" t="s">
        <v>1573</v>
      </c>
      <c r="C174" s="19"/>
      <c r="D174" s="301"/>
      <c r="F174" s="426">
        <f>SUM(F127:F173)</f>
        <v>12933921.90364055</v>
      </c>
    </row>
    <row r="175" spans="1:4" ht="12" customHeight="1">
      <c r="A175" s="199"/>
      <c r="B175" s="18"/>
      <c r="C175" s="19"/>
      <c r="D175" s="301"/>
    </row>
    <row r="176" spans="1:6" s="7" customFormat="1" ht="12.75">
      <c r="A176" s="243" t="s">
        <v>44</v>
      </c>
      <c r="B176" s="28" t="s">
        <v>45</v>
      </c>
      <c r="C176" s="14"/>
      <c r="D176" s="303"/>
      <c r="E176" s="184"/>
      <c r="F176" s="182"/>
    </row>
    <row r="177" spans="1:4" ht="12.75">
      <c r="A177" s="244"/>
      <c r="B177" s="27"/>
      <c r="C177" s="19"/>
      <c r="D177" s="301"/>
    </row>
    <row r="178" spans="1:6" ht="25.5">
      <c r="A178" s="244">
        <v>2.1</v>
      </c>
      <c r="B178" s="27" t="s">
        <v>118</v>
      </c>
      <c r="C178" s="19" t="s">
        <v>1565</v>
      </c>
      <c r="D178" s="301">
        <v>2767</v>
      </c>
      <c r="E178" s="178">
        <f>'Cost break dow.'!V154</f>
        <v>0</v>
      </c>
      <c r="F178" s="182">
        <f>D178*E178</f>
        <v>0</v>
      </c>
    </row>
    <row r="179" spans="1:4" ht="12.75">
      <c r="A179" s="186"/>
      <c r="B179" s="29"/>
      <c r="C179" s="19"/>
      <c r="D179" s="301"/>
    </row>
    <row r="180" spans="1:7" ht="14.25">
      <c r="A180" s="244">
        <v>2.2</v>
      </c>
      <c r="B180" s="27" t="s">
        <v>119</v>
      </c>
      <c r="C180" s="19" t="s">
        <v>1565</v>
      </c>
      <c r="D180" s="301">
        <v>562</v>
      </c>
      <c r="E180" s="182">
        <f>'Cost break dow.'!V160</f>
        <v>0</v>
      </c>
      <c r="F180" s="182">
        <f>D180*E180</f>
        <v>0</v>
      </c>
      <c r="G180" s="42"/>
    </row>
    <row r="181" spans="1:4" ht="12.75">
      <c r="A181" s="244"/>
      <c r="B181" s="27"/>
      <c r="C181" s="19"/>
      <c r="D181" s="301"/>
    </row>
    <row r="182" spans="1:6" ht="14.25">
      <c r="A182" s="244">
        <v>2.3</v>
      </c>
      <c r="B182" s="27" t="s">
        <v>120</v>
      </c>
      <c r="C182" s="19" t="s">
        <v>1565</v>
      </c>
      <c r="D182" s="301">
        <v>12</v>
      </c>
      <c r="E182" s="182">
        <f>'Cost break dow.'!V176</f>
        <v>272.47150213618875</v>
      </c>
      <c r="F182" s="182">
        <f>D182*E182</f>
        <v>3269.658025634265</v>
      </c>
    </row>
    <row r="183" spans="1:4" ht="11.25" customHeight="1">
      <c r="A183" s="199"/>
      <c r="B183" s="27"/>
      <c r="C183" s="19"/>
      <c r="D183" s="301"/>
    </row>
    <row r="184" spans="1:6" ht="12.75">
      <c r="A184" s="199"/>
      <c r="B184" s="441" t="s">
        <v>1573</v>
      </c>
      <c r="C184" s="19"/>
      <c r="D184" s="301"/>
      <c r="F184" s="426">
        <f>SUM(F178:F183)</f>
        <v>3269.658025634265</v>
      </c>
    </row>
    <row r="185" spans="1:4" ht="12.75">
      <c r="A185" s="186"/>
      <c r="B185" s="29"/>
      <c r="C185" s="19"/>
      <c r="D185" s="301"/>
    </row>
    <row r="186" spans="1:6" s="43" customFormat="1" ht="12.75">
      <c r="A186" s="243">
        <v>3</v>
      </c>
      <c r="B186" s="28" t="s">
        <v>3160</v>
      </c>
      <c r="C186" s="19"/>
      <c r="D186" s="301"/>
      <c r="E186" s="179"/>
      <c r="F186" s="179"/>
    </row>
    <row r="187" spans="1:6" s="43" customFormat="1" ht="12.75">
      <c r="A187" s="243"/>
      <c r="B187" s="27"/>
      <c r="C187" s="19"/>
      <c r="D187" s="301"/>
      <c r="E187" s="179"/>
      <c r="F187" s="179"/>
    </row>
    <row r="188" spans="1:6" s="43" customFormat="1" ht="16.5" customHeight="1">
      <c r="A188" s="199">
        <v>3.1</v>
      </c>
      <c r="B188" s="27" t="s">
        <v>121</v>
      </c>
      <c r="C188" s="19" t="s">
        <v>1565</v>
      </c>
      <c r="D188" s="301">
        <v>756</v>
      </c>
      <c r="E188" s="179">
        <f>0.1*'Cost break dow.'!V83</f>
        <v>205.69281035119604</v>
      </c>
      <c r="F188" s="179">
        <f>D188*E188</f>
        <v>155503.7646255042</v>
      </c>
    </row>
    <row r="189" spans="1:6" s="43" customFormat="1" ht="12.75">
      <c r="A189" s="199"/>
      <c r="B189" s="27"/>
      <c r="C189" s="19"/>
      <c r="D189" s="301"/>
      <c r="E189" s="179"/>
      <c r="F189" s="179" t="s">
        <v>1213</v>
      </c>
    </row>
    <row r="190" spans="1:6" s="43" customFormat="1" ht="25.5">
      <c r="A190" s="199">
        <v>3.2</v>
      </c>
      <c r="B190" s="27" t="s">
        <v>122</v>
      </c>
      <c r="C190" s="19" t="s">
        <v>1565</v>
      </c>
      <c r="D190" s="301">
        <v>756</v>
      </c>
      <c r="E190" s="179">
        <f>'Cost break dow.'!V367</f>
        <v>48.879060462867294</v>
      </c>
      <c r="F190" s="179">
        <f>D190*E190</f>
        <v>36952.56970992767</v>
      </c>
    </row>
    <row r="191" spans="1:6" s="43" customFormat="1" ht="12.75">
      <c r="A191" s="199"/>
      <c r="B191" s="27"/>
      <c r="C191" s="19"/>
      <c r="D191" s="301"/>
      <c r="E191" s="179"/>
      <c r="F191" s="179"/>
    </row>
    <row r="192" spans="1:6" s="43" customFormat="1" ht="30.75" customHeight="1">
      <c r="A192" s="199">
        <v>3.3</v>
      </c>
      <c r="B192" s="27" t="s">
        <v>2444</v>
      </c>
      <c r="C192" s="19" t="s">
        <v>1565</v>
      </c>
      <c r="D192" s="301">
        <v>756</v>
      </c>
      <c r="E192" s="179">
        <f>'Cost break dow.'!V380</f>
        <v>384.17608638115655</v>
      </c>
      <c r="F192" s="179">
        <f>D192*E192</f>
        <v>290437.12130415434</v>
      </c>
    </row>
    <row r="193" spans="1:6" s="43" customFormat="1" ht="12.75">
      <c r="A193" s="244"/>
      <c r="B193" s="27"/>
      <c r="C193" s="19"/>
      <c r="D193" s="301"/>
      <c r="E193" s="179"/>
      <c r="F193" s="179" t="s">
        <v>1213</v>
      </c>
    </row>
    <row r="194" spans="1:6" s="43" customFormat="1" ht="30.75" customHeight="1">
      <c r="A194" s="215">
        <v>3.4</v>
      </c>
      <c r="B194" s="27" t="s">
        <v>1428</v>
      </c>
      <c r="C194" s="19" t="s">
        <v>92</v>
      </c>
      <c r="D194" s="301">
        <v>174</v>
      </c>
      <c r="E194" s="179">
        <f>'Cost break dow.'!V235</f>
        <v>82.911836763889</v>
      </c>
      <c r="F194" s="179">
        <f>D194*E194</f>
        <v>14426.659596916686</v>
      </c>
    </row>
    <row r="195" spans="1:6" s="43" customFormat="1" ht="12.75">
      <c r="A195" s="244"/>
      <c r="B195" s="27"/>
      <c r="C195" s="19"/>
      <c r="D195" s="301"/>
      <c r="E195" s="179"/>
      <c r="F195" s="179" t="s">
        <v>1213</v>
      </c>
    </row>
    <row r="196" spans="1:6" s="43" customFormat="1" ht="27.75" customHeight="1">
      <c r="A196" s="17">
        <v>3.5</v>
      </c>
      <c r="B196" s="27" t="s">
        <v>2445</v>
      </c>
      <c r="C196" s="19" t="s">
        <v>92</v>
      </c>
      <c r="D196" s="301">
        <v>340</v>
      </c>
      <c r="E196" s="179">
        <f>'Cost break dow.'!V240</f>
        <v>72.76441455066129</v>
      </c>
      <c r="F196" s="179">
        <f>D196*E196</f>
        <v>24739.900947224836</v>
      </c>
    </row>
    <row r="197" spans="1:6" s="43" customFormat="1" ht="12.75">
      <c r="A197" s="244"/>
      <c r="B197" s="46"/>
      <c r="C197" s="19"/>
      <c r="D197" s="301"/>
      <c r="E197" s="179"/>
      <c r="F197" s="179"/>
    </row>
    <row r="198" spans="1:6" s="43" customFormat="1" ht="12.75">
      <c r="A198" s="186"/>
      <c r="B198" s="441" t="s">
        <v>1573</v>
      </c>
      <c r="C198" s="19"/>
      <c r="D198" s="301"/>
      <c r="E198" s="179"/>
      <c r="F198" s="439">
        <f>SUM(F188:F196)</f>
        <v>522060.0161837277</v>
      </c>
    </row>
    <row r="199" spans="1:6" s="43" customFormat="1" ht="12.75">
      <c r="A199" s="186"/>
      <c r="B199" s="31"/>
      <c r="C199" s="19"/>
      <c r="D199" s="301"/>
      <c r="E199" s="179"/>
      <c r="F199" s="179"/>
    </row>
    <row r="200" spans="1:6" s="43" customFormat="1" ht="12.75">
      <c r="A200" s="167">
        <v>4</v>
      </c>
      <c r="B200" s="13" t="s">
        <v>2446</v>
      </c>
      <c r="C200" s="19"/>
      <c r="D200" s="333"/>
      <c r="E200" s="179"/>
      <c r="F200" s="179"/>
    </row>
    <row r="201" spans="1:244" s="43" customFormat="1" ht="12.75">
      <c r="A201" s="48"/>
      <c r="B201" s="49"/>
      <c r="C201" s="48"/>
      <c r="D201" s="339"/>
      <c r="E201" s="429"/>
      <c r="F201" s="17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c r="BT201" s="49"/>
      <c r="BU201" s="49"/>
      <c r="BV201" s="49"/>
      <c r="BW201" s="49"/>
      <c r="BX201" s="49"/>
      <c r="BY201" s="49"/>
      <c r="BZ201" s="49"/>
      <c r="CA201" s="49"/>
      <c r="CB201" s="49"/>
      <c r="CC201" s="49"/>
      <c r="CD201" s="49"/>
      <c r="CE201" s="49"/>
      <c r="CF201" s="49"/>
      <c r="CG201" s="49"/>
      <c r="CH201" s="49"/>
      <c r="CI201" s="49"/>
      <c r="CJ201" s="49"/>
      <c r="CK201" s="49"/>
      <c r="CL201" s="49"/>
      <c r="CM201" s="49"/>
      <c r="CN201" s="49"/>
      <c r="CO201" s="49"/>
      <c r="CP201" s="49"/>
      <c r="CQ201" s="49"/>
      <c r="CR201" s="49"/>
      <c r="CS201" s="49"/>
      <c r="CT201" s="49"/>
      <c r="CU201" s="49"/>
      <c r="CV201" s="49"/>
      <c r="CW201" s="49"/>
      <c r="CX201" s="49"/>
      <c r="CY201" s="49"/>
      <c r="CZ201" s="49"/>
      <c r="DA201" s="49"/>
      <c r="DB201" s="49"/>
      <c r="DC201" s="49"/>
      <c r="DD201" s="49"/>
      <c r="DE201" s="49"/>
      <c r="DF201" s="49"/>
      <c r="DG201" s="49"/>
      <c r="DH201" s="49"/>
      <c r="DI201" s="49"/>
      <c r="DJ201" s="49"/>
      <c r="DK201" s="49"/>
      <c r="DL201" s="49"/>
      <c r="DM201" s="49"/>
      <c r="DN201" s="49"/>
      <c r="DO201" s="49"/>
      <c r="DP201" s="49"/>
      <c r="DQ201" s="49"/>
      <c r="DR201" s="49"/>
      <c r="DS201" s="49"/>
      <c r="DT201" s="49"/>
      <c r="DU201" s="49"/>
      <c r="DV201" s="49"/>
      <c r="DW201" s="49"/>
      <c r="DX201" s="49"/>
      <c r="DY201" s="49"/>
      <c r="DZ201" s="49"/>
      <c r="EA201" s="49"/>
      <c r="EB201" s="49"/>
      <c r="EC201" s="49"/>
      <c r="ED201" s="49"/>
      <c r="EE201" s="49"/>
      <c r="EF201" s="49"/>
      <c r="EG201" s="49"/>
      <c r="EH201" s="49"/>
      <c r="EI201" s="49"/>
      <c r="EJ201" s="49"/>
      <c r="EK201" s="49"/>
      <c r="EL201" s="49"/>
      <c r="EM201" s="49"/>
      <c r="EN201" s="49"/>
      <c r="EO201" s="49"/>
      <c r="EP201" s="49"/>
      <c r="EQ201" s="49"/>
      <c r="ER201" s="49"/>
      <c r="ES201" s="49"/>
      <c r="ET201" s="49"/>
      <c r="EU201" s="49"/>
      <c r="EV201" s="49"/>
      <c r="EW201" s="49"/>
      <c r="EX201" s="49"/>
      <c r="EY201" s="49"/>
      <c r="EZ201" s="49"/>
      <c r="FA201" s="49"/>
      <c r="FB201" s="49"/>
      <c r="FC201" s="49"/>
      <c r="FD201" s="49"/>
      <c r="FE201" s="49"/>
      <c r="FF201" s="49"/>
      <c r="FG201" s="49"/>
      <c r="FH201" s="49"/>
      <c r="FI201" s="49"/>
      <c r="FJ201" s="49"/>
      <c r="FK201" s="49"/>
      <c r="FL201" s="49"/>
      <c r="FM201" s="49"/>
      <c r="FN201" s="49"/>
      <c r="FO201" s="49"/>
      <c r="FP201" s="49"/>
      <c r="FQ201" s="49"/>
      <c r="FR201" s="49"/>
      <c r="FS201" s="49"/>
      <c r="FT201" s="49"/>
      <c r="FU201" s="49"/>
      <c r="FV201" s="49"/>
      <c r="FW201" s="49"/>
      <c r="FX201" s="49"/>
      <c r="FY201" s="49"/>
      <c r="FZ201" s="49"/>
      <c r="GA201" s="49"/>
      <c r="GB201" s="49"/>
      <c r="GC201" s="49"/>
      <c r="GD201" s="49"/>
      <c r="GE201" s="49"/>
      <c r="GF201" s="49"/>
      <c r="GG201" s="49"/>
      <c r="GH201" s="49"/>
      <c r="GI201" s="49"/>
      <c r="GJ201" s="49"/>
      <c r="GK201" s="49"/>
      <c r="GL201" s="49"/>
      <c r="GM201" s="49"/>
      <c r="GN201" s="49"/>
      <c r="GO201" s="49"/>
      <c r="GP201" s="49"/>
      <c r="GQ201" s="49"/>
      <c r="GR201" s="49"/>
      <c r="GS201" s="49"/>
      <c r="GT201" s="49"/>
      <c r="GU201" s="49"/>
      <c r="GV201" s="49"/>
      <c r="GW201" s="49"/>
      <c r="GX201" s="49"/>
      <c r="GY201" s="49"/>
      <c r="GZ201" s="49"/>
      <c r="HA201" s="49"/>
      <c r="HB201" s="49"/>
      <c r="HC201" s="49"/>
      <c r="HD201" s="49"/>
      <c r="HE201" s="49"/>
      <c r="HF201" s="49"/>
      <c r="HG201" s="49"/>
      <c r="HH201" s="49"/>
      <c r="HI201" s="49"/>
      <c r="HJ201" s="49"/>
      <c r="HK201" s="49"/>
      <c r="HL201" s="49"/>
      <c r="HM201" s="49"/>
      <c r="HN201" s="49"/>
      <c r="HO201" s="49"/>
      <c r="HP201" s="49"/>
      <c r="HQ201" s="49"/>
      <c r="HR201" s="49"/>
      <c r="HS201" s="49"/>
      <c r="HT201" s="49"/>
      <c r="HU201" s="49"/>
      <c r="HV201" s="49"/>
      <c r="HW201" s="49"/>
      <c r="HX201" s="49"/>
      <c r="HY201" s="49"/>
      <c r="HZ201" s="49"/>
      <c r="IA201" s="49"/>
      <c r="IB201" s="49"/>
      <c r="IC201" s="49"/>
      <c r="ID201" s="49"/>
      <c r="IE201" s="49"/>
      <c r="IF201" s="49"/>
      <c r="IG201" s="49"/>
      <c r="IH201" s="49"/>
      <c r="II201" s="49"/>
      <c r="IJ201" s="49"/>
    </row>
    <row r="202" spans="1:6" s="43" customFormat="1" ht="79.5" customHeight="1">
      <c r="A202" s="17"/>
      <c r="B202" s="18" t="s">
        <v>2849</v>
      </c>
      <c r="C202" s="19"/>
      <c r="D202" s="333"/>
      <c r="E202" s="179"/>
      <c r="F202" s="179"/>
    </row>
    <row r="203" spans="1:6" s="43" customFormat="1" ht="10.5" customHeight="1">
      <c r="A203" s="17"/>
      <c r="B203" s="18"/>
      <c r="C203" s="19"/>
      <c r="D203" s="333"/>
      <c r="E203" s="179"/>
      <c r="F203" s="179"/>
    </row>
    <row r="204" spans="1:6" s="43" customFormat="1" ht="12.75">
      <c r="A204" s="17">
        <v>4.1</v>
      </c>
      <c r="B204" s="18" t="s">
        <v>3023</v>
      </c>
      <c r="C204" s="19" t="s">
        <v>2850</v>
      </c>
      <c r="D204" s="333">
        <v>43</v>
      </c>
      <c r="E204" s="179">
        <f>0.7*3.1*'Cost break dow.'!V280</f>
        <v>4531.710071305331</v>
      </c>
      <c r="F204" s="179">
        <f>D204*E204</f>
        <v>194863.53306612925</v>
      </c>
    </row>
    <row r="205" spans="1:6" s="43" customFormat="1" ht="12.75">
      <c r="A205" s="17"/>
      <c r="B205" s="18"/>
      <c r="C205" s="19"/>
      <c r="D205" s="333"/>
      <c r="E205" s="179"/>
      <c r="F205" s="179"/>
    </row>
    <row r="206" spans="1:6" s="43" customFormat="1" ht="12.75">
      <c r="A206" s="17">
        <v>4.2</v>
      </c>
      <c r="B206" s="18" t="s">
        <v>3081</v>
      </c>
      <c r="C206" s="19" t="s">
        <v>2850</v>
      </c>
      <c r="D206" s="333">
        <v>4</v>
      </c>
      <c r="E206" s="179">
        <f>0.8*3.1*'Cost break dow.'!V280</f>
        <v>5179.097224348951</v>
      </c>
      <c r="F206" s="179">
        <f>D206*E206</f>
        <v>20716.388897395806</v>
      </c>
    </row>
    <row r="207" spans="1:6" s="43" customFormat="1" ht="12.75">
      <c r="A207" s="17"/>
      <c r="B207" s="18"/>
      <c r="C207" s="19"/>
      <c r="D207" s="333"/>
      <c r="E207" s="179"/>
      <c r="F207" s="179"/>
    </row>
    <row r="208" spans="1:6" s="43" customFormat="1" ht="12.75">
      <c r="A208" s="17">
        <v>4.3</v>
      </c>
      <c r="B208" s="18" t="s">
        <v>2702</v>
      </c>
      <c r="C208" s="19" t="s">
        <v>2850</v>
      </c>
      <c r="D208" s="333">
        <v>2</v>
      </c>
      <c r="E208" s="179">
        <f>1*3.1*'Cost break dow.'!V280</f>
        <v>6473.871530436189</v>
      </c>
      <c r="F208" s="179">
        <f>D208*E208</f>
        <v>12947.743060872377</v>
      </c>
    </row>
    <row r="209" spans="1:6" s="43" customFormat="1" ht="12.75">
      <c r="A209" s="17"/>
      <c r="B209" s="18"/>
      <c r="C209" s="19"/>
      <c r="D209" s="333"/>
      <c r="E209" s="179"/>
      <c r="F209" s="179"/>
    </row>
    <row r="210" spans="1:6" ht="17.25" customHeight="1">
      <c r="A210" s="17"/>
      <c r="B210" s="440" t="s">
        <v>1573</v>
      </c>
      <c r="C210" s="52"/>
      <c r="D210" s="298"/>
      <c r="F210" s="439">
        <f>SUM(F204:F208)</f>
        <v>228527.66502439743</v>
      </c>
    </row>
    <row r="211" spans="1:6" ht="12.75" customHeight="1">
      <c r="A211" s="17"/>
      <c r="B211" s="18"/>
      <c r="C211" s="52"/>
      <c r="D211" s="298"/>
      <c r="F211" s="179"/>
    </row>
    <row r="212" spans="1:6" ht="13.5" customHeight="1">
      <c r="A212" s="167">
        <v>5</v>
      </c>
      <c r="B212" s="13" t="s">
        <v>3162</v>
      </c>
      <c r="C212" s="52"/>
      <c r="D212" s="298"/>
      <c r="F212" s="179"/>
    </row>
    <row r="213" spans="1:6" ht="11.25" customHeight="1">
      <c r="A213" s="167"/>
      <c r="B213" s="18"/>
      <c r="C213" s="52"/>
      <c r="D213" s="298"/>
      <c r="F213" s="179"/>
    </row>
    <row r="214" spans="1:6" ht="168.75" customHeight="1">
      <c r="A214" s="17"/>
      <c r="B214" s="27" t="s">
        <v>1991</v>
      </c>
      <c r="C214" s="52"/>
      <c r="D214" s="298"/>
      <c r="F214" s="179"/>
    </row>
    <row r="215" spans="1:6" ht="13.5" customHeight="1">
      <c r="A215" s="167"/>
      <c r="B215" s="27"/>
      <c r="C215" s="52"/>
      <c r="D215" s="298"/>
      <c r="F215" s="179"/>
    </row>
    <row r="216" spans="1:6" ht="12.75" customHeight="1">
      <c r="A216" s="17"/>
      <c r="B216" s="53" t="s">
        <v>1992</v>
      </c>
      <c r="C216" s="19"/>
      <c r="D216" s="298"/>
      <c r="F216" s="179"/>
    </row>
    <row r="217" spans="1:6" ht="10.5" customHeight="1">
      <c r="A217" s="17"/>
      <c r="B217" s="18"/>
      <c r="C217" s="19"/>
      <c r="D217" s="298"/>
      <c r="F217" s="179"/>
    </row>
    <row r="218" spans="1:6" ht="14.25" customHeight="1">
      <c r="A218" s="17">
        <v>5.1</v>
      </c>
      <c r="B218" s="18" t="s">
        <v>163</v>
      </c>
      <c r="C218" s="19" t="s">
        <v>2850</v>
      </c>
      <c r="D218" s="298">
        <v>33</v>
      </c>
      <c r="E218" s="182">
        <f>5.85*3.1*'Cost break dow.'!V312</f>
        <v>70766.27729511537</v>
      </c>
      <c r="F218" s="179">
        <f>D218*E218</f>
        <v>2335287.1507388074</v>
      </c>
    </row>
    <row r="219" spans="1:6" ht="10.5" customHeight="1">
      <c r="A219" s="17"/>
      <c r="B219" s="18"/>
      <c r="C219" s="19"/>
      <c r="D219" s="298"/>
      <c r="F219" s="179"/>
    </row>
    <row r="220" spans="1:6" ht="14.25" customHeight="1">
      <c r="A220" s="17">
        <v>5.2</v>
      </c>
      <c r="B220" s="18" t="s">
        <v>164</v>
      </c>
      <c r="C220" s="19" t="s">
        <v>2850</v>
      </c>
      <c r="D220" s="298">
        <v>1</v>
      </c>
      <c r="E220" s="182">
        <f>6.058*3.1*'Cost break dow.'!V312</f>
        <v>73282.41159894172</v>
      </c>
      <c r="F220" s="179">
        <f>D220*E220</f>
        <v>73282.41159894172</v>
      </c>
    </row>
    <row r="221" spans="1:6" ht="12" customHeight="1">
      <c r="A221" s="17"/>
      <c r="B221" s="18"/>
      <c r="C221" s="19"/>
      <c r="D221" s="298"/>
      <c r="F221" s="179"/>
    </row>
    <row r="222" spans="1:6" ht="14.25" customHeight="1">
      <c r="A222" s="17">
        <v>5.3</v>
      </c>
      <c r="B222" s="18" t="s">
        <v>165</v>
      </c>
      <c r="C222" s="19" t="s">
        <v>2850</v>
      </c>
      <c r="D222" s="298">
        <v>2</v>
      </c>
      <c r="E222" s="182">
        <f>1501.5*5.6*3.1</f>
        <v>26066.04</v>
      </c>
      <c r="F222" s="179">
        <f>D222*E222</f>
        <v>52132.08</v>
      </c>
    </row>
    <row r="223" spans="1:6" ht="9" customHeight="1">
      <c r="A223" s="17"/>
      <c r="B223" s="18"/>
      <c r="C223" s="19"/>
      <c r="D223" s="298"/>
      <c r="F223" s="179"/>
    </row>
    <row r="224" spans="1:6" ht="13.5" customHeight="1">
      <c r="A224" s="17"/>
      <c r="B224" s="18" t="s">
        <v>1993</v>
      </c>
      <c r="C224" s="19"/>
      <c r="D224" s="298"/>
      <c r="F224" s="179"/>
    </row>
    <row r="225" spans="1:6" ht="9.75" customHeight="1">
      <c r="A225" s="17"/>
      <c r="B225" s="18"/>
      <c r="C225" s="19"/>
      <c r="D225" s="298"/>
      <c r="F225" s="179"/>
    </row>
    <row r="226" spans="1:6" ht="12.75">
      <c r="A226" s="17">
        <v>5.4</v>
      </c>
      <c r="B226" s="18" t="s">
        <v>166</v>
      </c>
      <c r="C226" s="19" t="s">
        <v>2850</v>
      </c>
      <c r="D226" s="298">
        <v>1</v>
      </c>
      <c r="E226" s="182">
        <f>3.1*'Cost break dow.'!V312</f>
        <v>12096.799537626563</v>
      </c>
      <c r="F226" s="179">
        <f>D226*E226</f>
        <v>12096.799537626563</v>
      </c>
    </row>
    <row r="227" spans="1:6" ht="12.75">
      <c r="A227" s="17"/>
      <c r="B227" s="18"/>
      <c r="C227" s="19"/>
      <c r="D227" s="298"/>
      <c r="F227" s="179"/>
    </row>
    <row r="228" spans="1:6" ht="12.75">
      <c r="A228" s="17">
        <v>5.5</v>
      </c>
      <c r="B228" s="18" t="s">
        <v>167</v>
      </c>
      <c r="C228" s="19" t="s">
        <v>2850</v>
      </c>
      <c r="D228" s="298">
        <v>7</v>
      </c>
      <c r="E228" s="182">
        <f>5*3.1*'Cost break dow.'!V312</f>
        <v>60483.99768813281</v>
      </c>
      <c r="F228" s="179">
        <f>D228*E228</f>
        <v>423387.9838169297</v>
      </c>
    </row>
    <row r="229" spans="2:6" ht="12.75">
      <c r="B229" s="18"/>
      <c r="C229" s="19"/>
      <c r="D229" s="298"/>
      <c r="F229" s="179"/>
    </row>
    <row r="230" spans="1:6" ht="12.75">
      <c r="A230" s="17">
        <v>5.6</v>
      </c>
      <c r="B230" s="18" t="s">
        <v>168</v>
      </c>
      <c r="C230" s="19" t="s">
        <v>2850</v>
      </c>
      <c r="D230" s="298">
        <v>31</v>
      </c>
      <c r="E230" s="182">
        <f>0.7*'Cost break dow.'!V312</f>
        <v>2731.5353794640623</v>
      </c>
      <c r="F230" s="179">
        <f>D230*E230</f>
        <v>84677.59676338593</v>
      </c>
    </row>
    <row r="231" spans="2:6" ht="12.75">
      <c r="B231" s="18"/>
      <c r="C231" s="19"/>
      <c r="D231" s="298"/>
      <c r="F231" s="179"/>
    </row>
    <row r="232" spans="1:6" ht="12.75">
      <c r="A232" s="17">
        <v>5.7</v>
      </c>
      <c r="B232" s="18" t="s">
        <v>2715</v>
      </c>
      <c r="C232" s="19" t="s">
        <v>2850</v>
      </c>
      <c r="D232" s="298">
        <v>20</v>
      </c>
      <c r="E232" s="182">
        <f>1.8*2.2*'Cost break dow.'!V312</f>
        <v>15452.685860968126</v>
      </c>
      <c r="F232" s="179">
        <f>D232*E232</f>
        <v>309053.7172193625</v>
      </c>
    </row>
    <row r="233" spans="2:6" ht="12.75">
      <c r="B233" s="18"/>
      <c r="C233" s="19"/>
      <c r="D233" s="298"/>
      <c r="F233" s="179"/>
    </row>
    <row r="234" spans="1:6" ht="12.75">
      <c r="A234" s="17">
        <v>5.8</v>
      </c>
      <c r="B234" s="18" t="s">
        <v>169</v>
      </c>
      <c r="C234" s="19" t="s">
        <v>2850</v>
      </c>
      <c r="D234" s="298">
        <v>7</v>
      </c>
      <c r="E234" s="182">
        <f>1.4*2.2*'Cost break dow.'!V312</f>
        <v>12018.755669641874</v>
      </c>
      <c r="F234" s="179">
        <f>D234*E234</f>
        <v>84131.28968749312</v>
      </c>
    </row>
    <row r="235" spans="2:6" ht="12.75">
      <c r="B235" s="18"/>
      <c r="C235" s="19"/>
      <c r="D235" s="298"/>
      <c r="F235" s="179"/>
    </row>
    <row r="236" spans="1:6" ht="12.75">
      <c r="A236" s="17">
        <v>5.9</v>
      </c>
      <c r="B236" s="18" t="s">
        <v>2719</v>
      </c>
      <c r="C236" s="19" t="s">
        <v>2850</v>
      </c>
      <c r="D236" s="298">
        <v>24</v>
      </c>
      <c r="E236" s="182">
        <f>2.96*2.2*'Cost break dow.'!V312</f>
        <v>25411.08341581425</v>
      </c>
      <c r="F236" s="179">
        <f>D236*E236</f>
        <v>609866.001979542</v>
      </c>
    </row>
    <row r="237" spans="1:6" ht="12.75">
      <c r="A237" s="17"/>
      <c r="B237" s="18"/>
      <c r="C237" s="19"/>
      <c r="D237" s="298"/>
      <c r="F237" s="179"/>
    </row>
    <row r="238" spans="1:6" ht="12.75">
      <c r="A238" s="187">
        <v>5.1</v>
      </c>
      <c r="B238" s="18" t="s">
        <v>170</v>
      </c>
      <c r="C238" s="19" t="s">
        <v>2850</v>
      </c>
      <c r="D238" s="298">
        <v>21</v>
      </c>
      <c r="E238" s="182">
        <f>1.4*2.2*'Cost break dow.'!V312</f>
        <v>12018.755669641874</v>
      </c>
      <c r="F238" s="179">
        <f>D238*E238</f>
        <v>252393.86906247935</v>
      </c>
    </row>
    <row r="239" spans="1:6" ht="10.5" customHeight="1">
      <c r="A239" s="17"/>
      <c r="B239" s="18"/>
      <c r="C239" s="19"/>
      <c r="D239" s="298"/>
      <c r="F239" s="179"/>
    </row>
    <row r="240" spans="1:6" ht="12.75">
      <c r="A240" s="187">
        <v>5.11</v>
      </c>
      <c r="B240" s="18" t="s">
        <v>171</v>
      </c>
      <c r="C240" s="19" t="s">
        <v>2850</v>
      </c>
      <c r="D240" s="298">
        <v>2</v>
      </c>
      <c r="E240" s="182">
        <f>4.25*2.2*'Cost break dow.'!V312</f>
        <v>36485.50828284141</v>
      </c>
      <c r="F240" s="179">
        <f>D240*E240</f>
        <v>72971.01656568282</v>
      </c>
    </row>
    <row r="241" spans="1:6" ht="10.5" customHeight="1">
      <c r="A241" s="187"/>
      <c r="B241" s="18"/>
      <c r="C241" s="19"/>
      <c r="D241" s="298"/>
      <c r="F241" s="179"/>
    </row>
    <row r="242" spans="1:6" ht="12.75">
      <c r="A242" s="187">
        <v>5.12</v>
      </c>
      <c r="B242" s="18" t="s">
        <v>172</v>
      </c>
      <c r="C242" s="19" t="s">
        <v>2850</v>
      </c>
      <c r="D242" s="298">
        <v>2</v>
      </c>
      <c r="E242" s="182">
        <f>2.34*2.2*1501.5</f>
        <v>7729.722</v>
      </c>
      <c r="F242" s="179">
        <f>D242*E242</f>
        <v>15459.444</v>
      </c>
    </row>
    <row r="243" spans="1:6" ht="9" customHeight="1">
      <c r="A243" s="187"/>
      <c r="B243" s="18"/>
      <c r="C243" s="19"/>
      <c r="D243" s="298"/>
      <c r="F243" s="179"/>
    </row>
    <row r="244" spans="1:6" ht="12.75">
      <c r="A244" s="187">
        <v>5.13</v>
      </c>
      <c r="B244" s="18" t="s">
        <v>173</v>
      </c>
      <c r="C244" s="19" t="s">
        <v>2850</v>
      </c>
      <c r="D244" s="298">
        <v>2</v>
      </c>
      <c r="E244" s="182">
        <f>4.87*2.2*1501.5</f>
        <v>16087.071</v>
      </c>
      <c r="F244" s="179">
        <f>D244*E244</f>
        <v>32174.142</v>
      </c>
    </row>
    <row r="245" spans="1:6" ht="9" customHeight="1">
      <c r="A245" s="187"/>
      <c r="B245" s="18"/>
      <c r="C245" s="19"/>
      <c r="D245" s="298"/>
      <c r="F245" s="179"/>
    </row>
    <row r="246" spans="1:6" ht="12.75">
      <c r="A246" s="187">
        <v>5.14</v>
      </c>
      <c r="B246" s="18" t="s">
        <v>174</v>
      </c>
      <c r="C246" s="19" t="s">
        <v>2850</v>
      </c>
      <c r="D246" s="298">
        <v>2</v>
      </c>
      <c r="E246" s="182">
        <f>7.6*2.2*1501.5</f>
        <v>25105.079999999998</v>
      </c>
      <c r="F246" s="179">
        <f>D246*E246</f>
        <v>50210.159999999996</v>
      </c>
    </row>
    <row r="247" spans="1:6" ht="12.75">
      <c r="A247" s="187"/>
      <c r="B247" s="18"/>
      <c r="C247" s="19"/>
      <c r="D247" s="298"/>
      <c r="F247" s="179"/>
    </row>
    <row r="248" spans="1:6" ht="12.75">
      <c r="A248" s="187">
        <v>5.15</v>
      </c>
      <c r="B248" s="18" t="s">
        <v>175</v>
      </c>
      <c r="C248" s="19" t="s">
        <v>2850</v>
      </c>
      <c r="D248" s="298">
        <v>1</v>
      </c>
      <c r="E248" s="182">
        <f>9.284*1501.5</f>
        <v>13939.926000000001</v>
      </c>
      <c r="F248" s="179">
        <f>D248*E248</f>
        <v>13939.926000000001</v>
      </c>
    </row>
    <row r="249" spans="1:6" ht="12.75">
      <c r="A249" s="17"/>
      <c r="B249" s="18"/>
      <c r="C249" s="19"/>
      <c r="D249" s="298"/>
      <c r="F249" s="179"/>
    </row>
    <row r="250" spans="1:6" ht="51">
      <c r="A250" s="187">
        <v>5.16</v>
      </c>
      <c r="B250" s="29" t="s">
        <v>241</v>
      </c>
      <c r="C250" s="19" t="s">
        <v>92</v>
      </c>
      <c r="D250" s="298">
        <v>90</v>
      </c>
      <c r="E250" s="178">
        <f>1200</f>
        <v>1200</v>
      </c>
      <c r="F250" s="179">
        <f>D250*E250</f>
        <v>108000</v>
      </c>
    </row>
    <row r="251" spans="1:6" ht="12.75">
      <c r="A251" s="17"/>
      <c r="B251" s="29"/>
      <c r="C251" s="19"/>
      <c r="D251" s="298"/>
      <c r="F251" s="179"/>
    </row>
    <row r="252" spans="1:6" ht="14.25" customHeight="1">
      <c r="A252" s="187">
        <v>5.17</v>
      </c>
      <c r="B252" s="29" t="s">
        <v>201</v>
      </c>
      <c r="C252" s="19" t="s">
        <v>92</v>
      </c>
      <c r="D252" s="298">
        <v>150</v>
      </c>
      <c r="E252" s="182">
        <v>450</v>
      </c>
      <c r="F252" s="179">
        <f>D252*E252</f>
        <v>67500</v>
      </c>
    </row>
    <row r="253" spans="1:6" ht="12.75">
      <c r="A253" s="17"/>
      <c r="F253" s="179"/>
    </row>
    <row r="254" spans="1:6" ht="12.75">
      <c r="A254" s="187">
        <v>5.18</v>
      </c>
      <c r="B254" s="29" t="s">
        <v>242</v>
      </c>
      <c r="C254" s="19" t="s">
        <v>92</v>
      </c>
      <c r="D254" s="298">
        <v>90</v>
      </c>
      <c r="E254" s="182">
        <f>1200</f>
        <v>1200</v>
      </c>
      <c r="F254" s="179">
        <f>D254*E254</f>
        <v>108000</v>
      </c>
    </row>
    <row r="255" spans="1:6" ht="9" customHeight="1">
      <c r="A255" s="17"/>
      <c r="B255" s="18"/>
      <c r="C255" s="19"/>
      <c r="D255" s="298"/>
      <c r="F255" s="179"/>
    </row>
    <row r="256" spans="1:6" ht="15" customHeight="1">
      <c r="A256" s="17"/>
      <c r="B256" s="440" t="s">
        <v>1573</v>
      </c>
      <c r="C256" s="19"/>
      <c r="D256" s="298"/>
      <c r="F256" s="439">
        <f>SUM(F218:F254)</f>
        <v>4704563.588970251</v>
      </c>
    </row>
    <row r="257" spans="1:6" ht="9" customHeight="1">
      <c r="A257" s="17"/>
      <c r="B257" s="18"/>
      <c r="C257" s="19"/>
      <c r="D257" s="298"/>
      <c r="F257" s="179"/>
    </row>
    <row r="258" spans="1:6" s="58" customFormat="1" ht="15" customHeight="1">
      <c r="A258" s="17"/>
      <c r="B258" s="59"/>
      <c r="C258" s="45"/>
      <c r="D258" s="298"/>
      <c r="E258" s="228"/>
      <c r="F258" s="179"/>
    </row>
    <row r="259" spans="1:6" s="60" customFormat="1" ht="16.5" customHeight="1">
      <c r="A259" s="167">
        <v>6</v>
      </c>
      <c r="B259" s="13" t="s">
        <v>3163</v>
      </c>
      <c r="C259" s="19"/>
      <c r="D259" s="298"/>
      <c r="E259" s="190"/>
      <c r="F259" s="179"/>
    </row>
    <row r="260" spans="1:6" s="60" customFormat="1" ht="12.75">
      <c r="A260" s="17"/>
      <c r="B260" s="18"/>
      <c r="C260" s="19"/>
      <c r="D260" s="298"/>
      <c r="E260" s="190"/>
      <c r="F260" s="179"/>
    </row>
    <row r="261" spans="1:6" s="60" customFormat="1" ht="25.5">
      <c r="A261" s="17">
        <v>6.1</v>
      </c>
      <c r="B261" s="18" t="s">
        <v>243</v>
      </c>
      <c r="C261" s="19" t="s">
        <v>1565</v>
      </c>
      <c r="D261" s="298">
        <v>4371</v>
      </c>
      <c r="E261" s="229">
        <f>'Cost break dow.'!V336</f>
        <v>159.96728093410925</v>
      </c>
      <c r="F261" s="179">
        <f>D261*E261</f>
        <v>699216.9849629916</v>
      </c>
    </row>
    <row r="262" spans="1:6" s="60" customFormat="1" ht="12.75">
      <c r="A262" s="17"/>
      <c r="B262" s="18"/>
      <c r="C262" s="19"/>
      <c r="D262" s="298"/>
      <c r="E262" s="190"/>
      <c r="F262" s="179"/>
    </row>
    <row r="263" spans="1:6" s="60" customFormat="1" ht="14.25">
      <c r="A263" s="17">
        <v>6.2</v>
      </c>
      <c r="B263" s="18" t="s">
        <v>245</v>
      </c>
      <c r="C263" s="19" t="s">
        <v>1565</v>
      </c>
      <c r="D263" s="298">
        <v>230</v>
      </c>
      <c r="E263" s="190">
        <f>E261</f>
        <v>159.96728093410925</v>
      </c>
      <c r="F263" s="179">
        <f>D263*E263</f>
        <v>36792.47461484513</v>
      </c>
    </row>
    <row r="264" spans="1:6" s="60" customFormat="1" ht="12.75">
      <c r="A264" s="17"/>
      <c r="B264" s="18"/>
      <c r="C264" s="19"/>
      <c r="D264" s="298"/>
      <c r="E264" s="190"/>
      <c r="F264" s="179"/>
    </row>
    <row r="265" spans="1:6" s="60" customFormat="1" ht="14.25">
      <c r="A265" s="17">
        <v>6.3</v>
      </c>
      <c r="B265" s="18" t="s">
        <v>246</v>
      </c>
      <c r="C265" s="19" t="s">
        <v>1565</v>
      </c>
      <c r="D265" s="301">
        <v>120</v>
      </c>
      <c r="E265" s="190">
        <f>E263</f>
        <v>159.96728093410925</v>
      </c>
      <c r="F265" s="179">
        <f>D265*E265</f>
        <v>19196.07371209311</v>
      </c>
    </row>
    <row r="266" spans="2:6" s="60" customFormat="1" ht="9.75" customHeight="1">
      <c r="B266" s="18"/>
      <c r="C266" s="19"/>
      <c r="D266" s="298"/>
      <c r="E266" s="190"/>
      <c r="F266" s="179"/>
    </row>
    <row r="267" spans="1:6" s="60" customFormat="1" ht="14.25">
      <c r="A267" s="17">
        <v>6.4</v>
      </c>
      <c r="B267" s="18" t="s">
        <v>247</v>
      </c>
      <c r="C267" s="19" t="s">
        <v>1565</v>
      </c>
      <c r="D267" s="301">
        <v>216</v>
      </c>
      <c r="E267" s="190">
        <f>E265</f>
        <v>159.96728093410925</v>
      </c>
      <c r="F267" s="179">
        <f>D267*E267</f>
        <v>34552.9326817676</v>
      </c>
    </row>
    <row r="268" spans="2:6" s="60" customFormat="1" ht="12.75">
      <c r="B268" s="18"/>
      <c r="C268" s="19"/>
      <c r="D268" s="298"/>
      <c r="E268" s="190"/>
      <c r="F268" s="179"/>
    </row>
    <row r="269" spans="1:6" s="60" customFormat="1" ht="27" customHeight="1">
      <c r="A269" s="17">
        <v>6.5</v>
      </c>
      <c r="B269" s="18" t="s">
        <v>2020</v>
      </c>
      <c r="C269" s="19" t="s">
        <v>1565</v>
      </c>
      <c r="D269" s="298">
        <v>1831</v>
      </c>
      <c r="E269" s="229">
        <f>'Cost break dow.'!V347</f>
        <v>135.07482520401282</v>
      </c>
      <c r="F269" s="179">
        <f>D269*E269</f>
        <v>247322.0049485475</v>
      </c>
    </row>
    <row r="270" spans="2:6" s="60" customFormat="1" ht="12.75">
      <c r="B270" s="18"/>
      <c r="C270" s="19"/>
      <c r="D270" s="298"/>
      <c r="E270" s="190"/>
      <c r="F270" s="179"/>
    </row>
    <row r="271" spans="1:6" s="60" customFormat="1" ht="25.5">
      <c r="A271" s="17">
        <v>6.6</v>
      </c>
      <c r="B271" s="18" t="s">
        <v>115</v>
      </c>
      <c r="C271" s="19" t="s">
        <v>1565</v>
      </c>
      <c r="D271" s="298">
        <v>2661.23</v>
      </c>
      <c r="E271" s="229">
        <f>E269</f>
        <v>135.07482520401282</v>
      </c>
      <c r="F271" s="179">
        <f>D271*E271</f>
        <v>359465.17707767506</v>
      </c>
    </row>
    <row r="272" spans="2:6" s="60" customFormat="1" ht="12.75">
      <c r="B272" s="18"/>
      <c r="C272" s="19"/>
      <c r="D272" s="298"/>
      <c r="E272" s="190"/>
      <c r="F272" s="179"/>
    </row>
    <row r="273" spans="1:6" s="60" customFormat="1" ht="25.5">
      <c r="A273" s="17">
        <v>6.7</v>
      </c>
      <c r="B273" s="18" t="s">
        <v>248</v>
      </c>
      <c r="C273" s="19" t="s">
        <v>1565</v>
      </c>
      <c r="D273" s="298">
        <v>448.83</v>
      </c>
      <c r="E273" s="229">
        <f>E271</f>
        <v>135.07482520401282</v>
      </c>
      <c r="F273" s="179">
        <f>D273*E273</f>
        <v>60625.63379631707</v>
      </c>
    </row>
    <row r="274" spans="1:6" s="60" customFormat="1" ht="12.75">
      <c r="A274" s="17"/>
      <c r="B274" s="18"/>
      <c r="C274" s="19"/>
      <c r="D274" s="298"/>
      <c r="E274" s="190"/>
      <c r="F274" s="179"/>
    </row>
    <row r="275" spans="1:6" s="60" customFormat="1" ht="32.25" customHeight="1">
      <c r="A275" s="17">
        <v>6.8</v>
      </c>
      <c r="B275" s="18" t="s">
        <v>159</v>
      </c>
      <c r="C275" s="19" t="s">
        <v>1565</v>
      </c>
      <c r="D275" s="298">
        <v>2661.23</v>
      </c>
      <c r="E275" s="229">
        <f>'Cost break dow.'!V501</f>
        <v>77.11194625194184</v>
      </c>
      <c r="F275" s="179">
        <f>D275*E275</f>
        <v>205212.6247240552</v>
      </c>
    </row>
    <row r="276" spans="1:6" s="60" customFormat="1" ht="9" customHeight="1">
      <c r="A276" s="17"/>
      <c r="B276" s="18"/>
      <c r="C276" s="19"/>
      <c r="D276" s="298"/>
      <c r="E276" s="229"/>
      <c r="F276" s="179"/>
    </row>
    <row r="277" spans="1:6" s="60" customFormat="1" ht="44.25" customHeight="1">
      <c r="A277" s="17">
        <v>6.9</v>
      </c>
      <c r="B277" s="18" t="s">
        <v>1047</v>
      </c>
      <c r="C277" s="19" t="s">
        <v>1565</v>
      </c>
      <c r="D277" s="298">
        <v>448.83</v>
      </c>
      <c r="E277" s="229">
        <f>'Cost break dow.'!V424</f>
        <v>332.95711980088737</v>
      </c>
      <c r="F277" s="179">
        <f>D277*E277</f>
        <v>149441.14408023228</v>
      </c>
    </row>
    <row r="278" spans="1:6" s="60" customFormat="1" ht="12.75">
      <c r="A278" s="17"/>
      <c r="B278" s="18"/>
      <c r="C278" s="19"/>
      <c r="D278" s="298"/>
      <c r="E278" s="190"/>
      <c r="F278" s="179"/>
    </row>
    <row r="279" spans="1:6" s="60" customFormat="1" ht="51" customHeight="1">
      <c r="A279" s="187">
        <v>6.1</v>
      </c>
      <c r="B279" s="54" t="s">
        <v>1048</v>
      </c>
      <c r="C279" s="19" t="s">
        <v>1565</v>
      </c>
      <c r="D279" s="298">
        <v>1830.44</v>
      </c>
      <c r="E279" s="229">
        <f>'Cost break dow.'!V430</f>
        <v>623.2458494508992</v>
      </c>
      <c r="F279" s="179">
        <f>D279*E279</f>
        <v>1140814.132668904</v>
      </c>
    </row>
    <row r="280" spans="1:6" s="60" customFormat="1" ht="13.5" customHeight="1">
      <c r="A280" s="17"/>
      <c r="B280" s="54"/>
      <c r="C280" s="19"/>
      <c r="D280" s="298"/>
      <c r="E280" s="190"/>
      <c r="F280" s="179"/>
    </row>
    <row r="281" spans="1:6" s="60" customFormat="1" ht="41.25" customHeight="1">
      <c r="A281" s="187">
        <v>6.11</v>
      </c>
      <c r="B281" s="54" t="s">
        <v>135</v>
      </c>
      <c r="C281" s="19" t="s">
        <v>1565</v>
      </c>
      <c r="D281" s="298">
        <v>93.78</v>
      </c>
      <c r="E281" s="229">
        <f>'Cost break dow.'!V385</f>
        <v>289.9523990414007</v>
      </c>
      <c r="F281" s="179">
        <f>D281*E281</f>
        <v>27191.73598210256</v>
      </c>
    </row>
    <row r="282" spans="1:6" s="60" customFormat="1" ht="15" customHeight="1">
      <c r="A282" s="187"/>
      <c r="B282" s="54"/>
      <c r="C282" s="19"/>
      <c r="D282" s="298"/>
      <c r="E282" s="190"/>
      <c r="F282" s="179"/>
    </row>
    <row r="283" spans="1:6" s="60" customFormat="1" ht="13.5" customHeight="1">
      <c r="A283" s="187">
        <v>6.12</v>
      </c>
      <c r="B283" s="54" t="s">
        <v>136</v>
      </c>
      <c r="C283" s="19" t="s">
        <v>1565</v>
      </c>
      <c r="D283" s="298">
        <v>103.64</v>
      </c>
      <c r="E283" s="190">
        <f>'Cost break dow.'!V424</f>
        <v>332.95711980088737</v>
      </c>
      <c r="F283" s="179">
        <f>D283*E283</f>
        <v>34507.675896163964</v>
      </c>
    </row>
    <row r="284" spans="1:6" s="60" customFormat="1" ht="12.75" customHeight="1">
      <c r="A284" s="187"/>
      <c r="B284" s="54"/>
      <c r="C284" s="19"/>
      <c r="D284" s="298"/>
      <c r="E284" s="190"/>
      <c r="F284" s="179"/>
    </row>
    <row r="285" spans="1:6" s="60" customFormat="1" ht="40.5" customHeight="1">
      <c r="A285" s="187">
        <v>6.13</v>
      </c>
      <c r="B285" s="18" t="s">
        <v>3146</v>
      </c>
      <c r="C285" s="19" t="s">
        <v>1565</v>
      </c>
      <c r="D285" s="298">
        <v>664.45</v>
      </c>
      <c r="E285" s="229">
        <f>'Cost break dow.'!V436</f>
        <v>490.2028561664415</v>
      </c>
      <c r="F285" s="179">
        <f>D285*E285</f>
        <v>325715.2877797921</v>
      </c>
    </row>
    <row r="286" spans="1:6" s="60" customFormat="1" ht="12.75">
      <c r="A286" s="187"/>
      <c r="B286" s="18"/>
      <c r="C286" s="19"/>
      <c r="D286" s="298"/>
      <c r="E286" s="190"/>
      <c r="F286" s="179"/>
    </row>
    <row r="287" spans="1:6" s="60" customFormat="1" ht="40.5" customHeight="1">
      <c r="A287" s="187">
        <v>6.14</v>
      </c>
      <c r="B287" s="18" t="s">
        <v>1049</v>
      </c>
      <c r="C287" s="19" t="s">
        <v>1565</v>
      </c>
      <c r="D287" s="298">
        <v>552.14</v>
      </c>
      <c r="E287" s="229">
        <f>E285</f>
        <v>490.2028561664415</v>
      </c>
      <c r="F287" s="179">
        <f>D287*E287</f>
        <v>270660.605003739</v>
      </c>
    </row>
    <row r="288" spans="1:6" s="60" customFormat="1" ht="12.75">
      <c r="A288" s="187"/>
      <c r="B288" s="18"/>
      <c r="C288" s="19"/>
      <c r="D288" s="298"/>
      <c r="E288" s="190"/>
      <c r="F288" s="179"/>
    </row>
    <row r="289" spans="1:6" s="60" customFormat="1" ht="38.25" customHeight="1">
      <c r="A289" s="187">
        <v>6.15</v>
      </c>
      <c r="B289" s="18" t="s">
        <v>1050</v>
      </c>
      <c r="C289" s="19" t="s">
        <v>1565</v>
      </c>
      <c r="D289" s="298">
        <v>106.24</v>
      </c>
      <c r="E289" s="229">
        <f>'Cost break dow.'!V407</f>
        <v>164.82284139406477</v>
      </c>
      <c r="F289" s="179">
        <f>D289*E289</f>
        <v>17510.77866970544</v>
      </c>
    </row>
    <row r="290" spans="1:6" s="60" customFormat="1" ht="12.75" customHeight="1">
      <c r="A290" s="17"/>
      <c r="B290" s="18"/>
      <c r="C290" s="19"/>
      <c r="D290" s="298"/>
      <c r="E290" s="190"/>
      <c r="F290" s="179"/>
    </row>
    <row r="291" spans="1:6" s="60" customFormat="1" ht="65.25" customHeight="1">
      <c r="A291" s="187">
        <v>6.16</v>
      </c>
      <c r="B291" s="18" t="s">
        <v>1051</v>
      </c>
      <c r="C291" s="19" t="s">
        <v>1565</v>
      </c>
      <c r="D291" s="298">
        <v>1350.86</v>
      </c>
      <c r="E291" s="229">
        <f>'Cost break dow.'!V412</f>
        <v>170.91995313920307</v>
      </c>
      <c r="F291" s="179">
        <f>D291*E291</f>
        <v>230888.92789762386</v>
      </c>
    </row>
    <row r="292" spans="1:6" s="60" customFormat="1" ht="14.25" customHeight="1">
      <c r="A292" s="187"/>
      <c r="B292" s="18"/>
      <c r="C292" s="19"/>
      <c r="D292" s="298"/>
      <c r="E292" s="190"/>
      <c r="F292" s="179"/>
    </row>
    <row r="293" spans="1:6" s="60" customFormat="1" ht="51">
      <c r="A293" s="187">
        <v>6.17</v>
      </c>
      <c r="B293" s="18" t="s">
        <v>1052</v>
      </c>
      <c r="C293" s="19" t="s">
        <v>1565</v>
      </c>
      <c r="D293" s="298">
        <v>67.82</v>
      </c>
      <c r="E293" s="229">
        <f>'Cost break dow.'!V390</f>
        <v>1192.769526935376</v>
      </c>
      <c r="F293" s="179">
        <f>D293*E293</f>
        <v>80893.62931675719</v>
      </c>
    </row>
    <row r="294" spans="1:6" s="60" customFormat="1" ht="12.75">
      <c r="A294" s="187"/>
      <c r="B294" s="18"/>
      <c r="C294" s="19"/>
      <c r="D294" s="298"/>
      <c r="E294" s="190"/>
      <c r="F294" s="179"/>
    </row>
    <row r="295" spans="1:6" s="60" customFormat="1" ht="26.25" customHeight="1">
      <c r="A295" s="187">
        <v>6.18</v>
      </c>
      <c r="B295" s="57" t="s">
        <v>1053</v>
      </c>
      <c r="C295" s="19" t="s">
        <v>92</v>
      </c>
      <c r="D295" s="298">
        <v>126</v>
      </c>
      <c r="E295" s="229">
        <f>0.29*'Cost break dow.'!V395</f>
        <v>414.20229453098506</v>
      </c>
      <c r="F295" s="179">
        <f>D295*E295</f>
        <v>52189.48911090412</v>
      </c>
    </row>
    <row r="296" spans="1:6" s="60" customFormat="1" ht="16.5" customHeight="1">
      <c r="A296" s="187"/>
      <c r="B296" s="56"/>
      <c r="C296" s="19"/>
      <c r="D296" s="298"/>
      <c r="E296" s="190"/>
      <c r="F296" s="179"/>
    </row>
    <row r="297" spans="1:6" s="60" customFormat="1" ht="12" customHeight="1">
      <c r="A297" s="187">
        <v>6.19</v>
      </c>
      <c r="B297" s="57" t="s">
        <v>1054</v>
      </c>
      <c r="C297" s="19" t="s">
        <v>92</v>
      </c>
      <c r="D297" s="298">
        <v>126</v>
      </c>
      <c r="E297" s="190">
        <f>0.17*522.84</f>
        <v>88.88280000000002</v>
      </c>
      <c r="F297" s="179">
        <f>D297*E297</f>
        <v>11199.232800000002</v>
      </c>
    </row>
    <row r="298" spans="2:6" s="60" customFormat="1" ht="12.75" customHeight="1">
      <c r="B298" s="57"/>
      <c r="C298" s="19"/>
      <c r="D298" s="298"/>
      <c r="E298" s="190"/>
      <c r="F298" s="179"/>
    </row>
    <row r="299" spans="1:6" s="60" customFormat="1" ht="27" customHeight="1">
      <c r="A299" s="187">
        <v>6.2</v>
      </c>
      <c r="B299" s="18" t="s">
        <v>162</v>
      </c>
      <c r="C299" s="19" t="s">
        <v>92</v>
      </c>
      <c r="D299" s="298">
        <v>206.93</v>
      </c>
      <c r="E299" s="229">
        <f>'Cost break dow.'!V443</f>
        <v>116.52608572194272</v>
      </c>
      <c r="F299" s="179">
        <f>D299*E299</f>
        <v>24112.742918441607</v>
      </c>
    </row>
    <row r="300" spans="1:6" s="60" customFormat="1" ht="12" customHeight="1">
      <c r="A300" s="187"/>
      <c r="B300" s="18"/>
      <c r="C300" s="19"/>
      <c r="D300" s="298"/>
      <c r="E300" s="190"/>
      <c r="F300" s="179"/>
    </row>
    <row r="301" spans="1:6" s="60" customFormat="1" ht="27.75" customHeight="1">
      <c r="A301" s="187">
        <v>6.21</v>
      </c>
      <c r="B301" s="18" t="s">
        <v>2946</v>
      </c>
      <c r="C301" s="19" t="s">
        <v>92</v>
      </c>
      <c r="D301" s="298">
        <v>1448.52</v>
      </c>
      <c r="E301" s="229">
        <f>'Cost break dow.'!V449</f>
        <v>33.895064573824904</v>
      </c>
      <c r="F301" s="179">
        <f>D301*E301</f>
        <v>49097.67893647685</v>
      </c>
    </row>
    <row r="302" spans="1:6" ht="12.75">
      <c r="A302" s="187"/>
      <c r="B302" s="29"/>
      <c r="C302" s="19"/>
      <c r="D302" s="298"/>
      <c r="F302" s="179"/>
    </row>
    <row r="303" spans="1:6" s="43" customFormat="1" ht="25.5">
      <c r="A303" s="187">
        <v>6.22</v>
      </c>
      <c r="B303" s="18" t="s">
        <v>3148</v>
      </c>
      <c r="C303" s="19" t="s">
        <v>92</v>
      </c>
      <c r="D303" s="301">
        <v>246.16</v>
      </c>
      <c r="E303" s="179">
        <f>'Cost break dow.'!V456</f>
        <v>206.5998502891973</v>
      </c>
      <c r="F303" s="179">
        <f>D303*E303</f>
        <v>50856.6191471888</v>
      </c>
    </row>
    <row r="304" spans="1:6" s="43" customFormat="1" ht="12.75">
      <c r="A304" s="187"/>
      <c r="B304" s="18"/>
      <c r="C304" s="19"/>
      <c r="D304" s="301"/>
      <c r="E304" s="179"/>
      <c r="F304" s="179"/>
    </row>
    <row r="305" spans="1:6" s="43" customFormat="1" ht="25.5">
      <c r="A305" s="187">
        <v>6.23</v>
      </c>
      <c r="B305" s="18" t="s">
        <v>2947</v>
      </c>
      <c r="C305" s="19" t="s">
        <v>92</v>
      </c>
      <c r="D305" s="301">
        <v>90</v>
      </c>
      <c r="E305" s="179">
        <f>0.3*'Cost break dow.'!V395</f>
        <v>428.48513227343284</v>
      </c>
      <c r="F305" s="179">
        <f>D305*E305</f>
        <v>38563.661904608955</v>
      </c>
    </row>
    <row r="306" spans="2:6" s="43" customFormat="1" ht="12.75">
      <c r="B306" s="18"/>
      <c r="C306" s="19"/>
      <c r="D306" s="301"/>
      <c r="E306" s="179"/>
      <c r="F306" s="179"/>
    </row>
    <row r="307" spans="1:6" s="60" customFormat="1" ht="38.25" customHeight="1">
      <c r="A307" s="187">
        <v>6.24</v>
      </c>
      <c r="B307" s="84" t="s">
        <v>3021</v>
      </c>
      <c r="C307" s="2" t="s">
        <v>1565</v>
      </c>
      <c r="D307" s="310">
        <v>103.64</v>
      </c>
      <c r="E307" s="229">
        <f>'Cost break dow.'!V288</f>
        <v>1139.7335407864464</v>
      </c>
      <c r="F307" s="179">
        <f>D307*E307</f>
        <v>118121.98416710731</v>
      </c>
    </row>
    <row r="308" spans="1:6" s="43" customFormat="1" ht="12.75">
      <c r="A308" s="187"/>
      <c r="B308" s="18"/>
      <c r="C308" s="19"/>
      <c r="D308" s="301"/>
      <c r="E308" s="179"/>
      <c r="F308" s="179"/>
    </row>
    <row r="309" spans="1:6" s="60" customFormat="1" ht="12.75">
      <c r="A309" s="17"/>
      <c r="B309" s="440" t="s">
        <v>1066</v>
      </c>
      <c r="C309" s="19"/>
      <c r="D309" s="298"/>
      <c r="E309" s="190"/>
      <c r="F309" s="446">
        <f>SUM(F261:F307)</f>
        <v>4284149.23279804</v>
      </c>
    </row>
    <row r="310" spans="1:6" s="60" customFormat="1" ht="12.75">
      <c r="A310" s="17"/>
      <c r="B310" s="18"/>
      <c r="C310" s="19"/>
      <c r="D310" s="298"/>
      <c r="E310" s="190"/>
      <c r="F310" s="179"/>
    </row>
    <row r="311" spans="1:6" s="43" customFormat="1" ht="12.75">
      <c r="A311" s="167">
        <v>7</v>
      </c>
      <c r="B311" s="13" t="s">
        <v>1067</v>
      </c>
      <c r="C311" s="19"/>
      <c r="D311" s="298"/>
      <c r="E311" s="179"/>
      <c r="F311" s="179"/>
    </row>
    <row r="312" spans="1:6" s="43" customFormat="1" ht="12.75">
      <c r="A312" s="17"/>
      <c r="B312" s="18"/>
      <c r="C312" s="19"/>
      <c r="D312" s="298"/>
      <c r="E312" s="179"/>
      <c r="F312" s="179"/>
    </row>
    <row r="313" spans="1:6" s="43" customFormat="1" ht="25.5">
      <c r="A313" s="17">
        <v>7.1</v>
      </c>
      <c r="B313" s="18" t="s">
        <v>2769</v>
      </c>
      <c r="C313" s="19" t="s">
        <v>1565</v>
      </c>
      <c r="D313" s="298">
        <v>548.12</v>
      </c>
      <c r="E313" s="179">
        <f>'Cost break dow.'!V485</f>
        <v>206.49471622555038</v>
      </c>
      <c r="F313" s="179">
        <f>D313*E313</f>
        <v>113183.88385754867</v>
      </c>
    </row>
    <row r="314" spans="1:6" s="43" customFormat="1" ht="12.75">
      <c r="A314" s="17"/>
      <c r="B314" s="18"/>
      <c r="C314" s="19"/>
      <c r="D314" s="298"/>
      <c r="E314" s="179"/>
      <c r="F314" s="179"/>
    </row>
    <row r="315" spans="1:6" s="43" customFormat="1" ht="14.25">
      <c r="A315" s="17">
        <v>7.2</v>
      </c>
      <c r="B315" s="18" t="s">
        <v>2770</v>
      </c>
      <c r="C315" s="19" t="s">
        <v>1565</v>
      </c>
      <c r="D315" s="298">
        <v>651.77</v>
      </c>
      <c r="E315" s="179">
        <f>'Cost break dow.'!V490</f>
        <v>277.7532133431297</v>
      </c>
      <c r="F315" s="179">
        <f>D315*E315</f>
        <v>181031.21186065165</v>
      </c>
    </row>
    <row r="316" spans="1:6" s="43" customFormat="1" ht="12.75">
      <c r="A316" s="17"/>
      <c r="B316" s="18"/>
      <c r="C316" s="19"/>
      <c r="D316" s="298"/>
      <c r="E316" s="179"/>
      <c r="F316" s="179"/>
    </row>
    <row r="317" spans="1:6" s="43" customFormat="1" ht="10.5" customHeight="1">
      <c r="A317" s="17"/>
      <c r="B317" s="18"/>
      <c r="C317" s="19"/>
      <c r="D317" s="298"/>
      <c r="E317" s="179"/>
      <c r="F317" s="179"/>
    </row>
    <row r="318" spans="1:6" s="43" customFormat="1" ht="12.75">
      <c r="A318" s="17"/>
      <c r="B318" s="440" t="s">
        <v>1066</v>
      </c>
      <c r="C318" s="19"/>
      <c r="D318" s="298"/>
      <c r="E318" s="179"/>
      <c r="F318" s="446">
        <f>F313+F315</f>
        <v>294215.0957182003</v>
      </c>
    </row>
    <row r="319" spans="1:6" s="43" customFormat="1" ht="12" customHeight="1">
      <c r="A319" s="17"/>
      <c r="B319" s="18"/>
      <c r="C319" s="19"/>
      <c r="D319" s="298"/>
      <c r="E319" s="179"/>
      <c r="F319" s="179"/>
    </row>
    <row r="320" spans="1:6" s="43" customFormat="1" ht="12.75">
      <c r="A320" s="167">
        <v>8</v>
      </c>
      <c r="B320" s="13" t="s">
        <v>2771</v>
      </c>
      <c r="C320" s="19"/>
      <c r="D320" s="298"/>
      <c r="E320" s="179"/>
      <c r="F320" s="179"/>
    </row>
    <row r="321" spans="1:6" s="43" customFormat="1" ht="10.5" customHeight="1">
      <c r="A321" s="17"/>
      <c r="B321" s="18"/>
      <c r="C321" s="19"/>
      <c r="D321" s="298"/>
      <c r="E321" s="179"/>
      <c r="F321" s="179"/>
    </row>
    <row r="322" spans="1:6" s="60" customFormat="1" ht="25.5">
      <c r="A322" s="17">
        <v>8.1</v>
      </c>
      <c r="B322" s="18" t="s">
        <v>31</v>
      </c>
      <c r="C322" s="19" t="s">
        <v>1565</v>
      </c>
      <c r="D322" s="298">
        <v>4370.63</v>
      </c>
      <c r="E322" s="229">
        <f>'Cost break dow.'!V495</f>
        <v>49.73559579465977</v>
      </c>
      <c r="F322" s="179">
        <f aca="true" t="shared" si="0" ref="F322:F332">D322*E322</f>
        <v>217375.88704801386</v>
      </c>
    </row>
    <row r="323" spans="1:6" s="60" customFormat="1" ht="12.75">
      <c r="A323" s="17"/>
      <c r="B323" s="18"/>
      <c r="C323" s="19"/>
      <c r="D323" s="298"/>
      <c r="E323" s="190"/>
      <c r="F323" s="179"/>
    </row>
    <row r="324" spans="1:6" s="60" customFormat="1" ht="14.25">
      <c r="A324" s="17">
        <v>8.2</v>
      </c>
      <c r="B324" s="18" t="s">
        <v>244</v>
      </c>
      <c r="C324" s="19" t="s">
        <v>1565</v>
      </c>
      <c r="D324" s="298">
        <v>2661.23</v>
      </c>
      <c r="E324" s="190">
        <f>E322</f>
        <v>49.73559579465977</v>
      </c>
      <c r="F324" s="179">
        <f t="shared" si="0"/>
        <v>132357.85959662244</v>
      </c>
    </row>
    <row r="325" spans="2:6" s="60" customFormat="1" ht="12.75">
      <c r="B325" s="18"/>
      <c r="C325" s="19"/>
      <c r="D325" s="298"/>
      <c r="E325" s="190"/>
      <c r="F325" s="179"/>
    </row>
    <row r="326" spans="1:6" s="60" customFormat="1" ht="14.25">
      <c r="A326" s="17">
        <v>8.3</v>
      </c>
      <c r="B326" s="18" t="s">
        <v>245</v>
      </c>
      <c r="C326" s="19" t="s">
        <v>1565</v>
      </c>
      <c r="D326" s="298">
        <v>230</v>
      </c>
      <c r="E326" s="190">
        <f>E322</f>
        <v>49.73559579465977</v>
      </c>
      <c r="F326" s="179">
        <f t="shared" si="0"/>
        <v>11439.187032771748</v>
      </c>
    </row>
    <row r="327" spans="1:6" s="60" customFormat="1" ht="12.75">
      <c r="A327" s="17"/>
      <c r="B327" s="18"/>
      <c r="C327" s="19"/>
      <c r="D327" s="298"/>
      <c r="E327" s="190"/>
      <c r="F327" s="179"/>
    </row>
    <row r="328" spans="1:6" s="60" customFormat="1" ht="14.25">
      <c r="A328" s="17">
        <v>8.4</v>
      </c>
      <c r="B328" s="18" t="s">
        <v>246</v>
      </c>
      <c r="C328" s="19" t="s">
        <v>1565</v>
      </c>
      <c r="D328" s="301">
        <v>120</v>
      </c>
      <c r="E328" s="190">
        <f>E322</f>
        <v>49.73559579465977</v>
      </c>
      <c r="F328" s="179">
        <f t="shared" si="0"/>
        <v>5968.271495359173</v>
      </c>
    </row>
    <row r="329" spans="2:6" s="60" customFormat="1" ht="12.75">
      <c r="B329" s="18"/>
      <c r="C329" s="19"/>
      <c r="D329" s="298"/>
      <c r="E329" s="190"/>
      <c r="F329" s="179"/>
    </row>
    <row r="330" spans="1:6" s="43" customFormat="1" ht="14.25">
      <c r="A330" s="17">
        <v>8.5</v>
      </c>
      <c r="B330" s="18" t="s">
        <v>247</v>
      </c>
      <c r="C330" s="19" t="s">
        <v>1565</v>
      </c>
      <c r="D330" s="301">
        <v>216</v>
      </c>
      <c r="E330" s="179">
        <f>E322</f>
        <v>49.73559579465977</v>
      </c>
      <c r="F330" s="179">
        <f t="shared" si="0"/>
        <v>10742.88869164651</v>
      </c>
    </row>
    <row r="331" spans="1:6" s="43" customFormat="1" ht="12.75">
      <c r="A331" s="17"/>
      <c r="B331" s="18"/>
      <c r="C331" s="19"/>
      <c r="D331" s="298"/>
      <c r="E331" s="179"/>
      <c r="F331" s="179"/>
    </row>
    <row r="332" spans="1:6" s="60" customFormat="1" ht="14.25">
      <c r="A332" s="17">
        <v>8.6</v>
      </c>
      <c r="B332" s="84" t="s">
        <v>3022</v>
      </c>
      <c r="C332" s="19" t="s">
        <v>1565</v>
      </c>
      <c r="D332" s="298">
        <v>103.64</v>
      </c>
      <c r="E332" s="190">
        <f>E322</f>
        <v>49.73559579465977</v>
      </c>
      <c r="F332" s="179">
        <f t="shared" si="0"/>
        <v>5154.597148158539</v>
      </c>
    </row>
    <row r="333" spans="1:6" s="43" customFormat="1" ht="12.75">
      <c r="A333" s="17"/>
      <c r="B333" s="18"/>
      <c r="C333" s="19"/>
      <c r="D333" s="298"/>
      <c r="E333" s="179"/>
      <c r="F333" s="179"/>
    </row>
    <row r="334" spans="1:6" s="43" customFormat="1" ht="12.75">
      <c r="A334" s="17"/>
      <c r="B334" s="440" t="s">
        <v>1066</v>
      </c>
      <c r="C334" s="19"/>
      <c r="D334" s="298"/>
      <c r="E334" s="179"/>
      <c r="F334" s="439">
        <f>SUM(F322:F332)</f>
        <v>383038.69101257226</v>
      </c>
    </row>
    <row r="335" spans="1:6" s="43" customFormat="1" ht="12.75">
      <c r="A335" s="17"/>
      <c r="B335" s="51"/>
      <c r="C335" s="19"/>
      <c r="D335" s="298"/>
      <c r="E335" s="179"/>
      <c r="F335" s="179"/>
    </row>
    <row r="336" spans="1:6" s="62" customFormat="1" ht="15" customHeight="1">
      <c r="A336" s="265">
        <v>9</v>
      </c>
      <c r="B336" s="62" t="s">
        <v>32</v>
      </c>
      <c r="C336" s="14"/>
      <c r="D336" s="338"/>
      <c r="E336" s="430"/>
      <c r="F336" s="430"/>
    </row>
    <row r="337" spans="1:6" s="276" customFormat="1" ht="15" customHeight="1">
      <c r="A337" s="249"/>
      <c r="B337" s="63"/>
      <c r="C337" s="19"/>
      <c r="D337" s="298"/>
      <c r="E337" s="431"/>
      <c r="F337" s="431"/>
    </row>
    <row r="338" spans="1:6" s="276" customFormat="1" ht="15" customHeight="1">
      <c r="A338" s="127"/>
      <c r="B338" s="62" t="s">
        <v>33</v>
      </c>
      <c r="C338" s="19"/>
      <c r="D338" s="298"/>
      <c r="E338" s="431"/>
      <c r="F338" s="431"/>
    </row>
    <row r="339" spans="1:6" s="276" customFormat="1" ht="15" customHeight="1">
      <c r="A339" s="127"/>
      <c r="B339" s="63"/>
      <c r="C339" s="19"/>
      <c r="D339" s="298"/>
      <c r="E339" s="431"/>
      <c r="F339" s="431"/>
    </row>
    <row r="340" spans="1:6" s="43" customFormat="1" ht="12" customHeight="1">
      <c r="A340" s="17"/>
      <c r="B340" s="65" t="s">
        <v>2327</v>
      </c>
      <c r="C340" s="19"/>
      <c r="D340" s="298"/>
      <c r="E340" s="179"/>
      <c r="F340" s="179"/>
    </row>
    <row r="341" spans="1:6" s="43" customFormat="1" ht="6.75" customHeight="1">
      <c r="A341" s="17"/>
      <c r="B341" s="54"/>
      <c r="C341" s="19"/>
      <c r="D341" s="298"/>
      <c r="E341" s="179"/>
      <c r="F341" s="179"/>
    </row>
    <row r="342" spans="1:7" s="277" customFormat="1" ht="25.5">
      <c r="A342" s="119" t="s">
        <v>2328</v>
      </c>
      <c r="B342" s="84" t="s">
        <v>2133</v>
      </c>
      <c r="C342" s="2"/>
      <c r="D342" s="332"/>
      <c r="E342" s="425"/>
      <c r="F342" s="434"/>
      <c r="G342" s="91"/>
    </row>
    <row r="343" spans="1:7" s="277" customFormat="1" ht="25.5">
      <c r="A343" s="119"/>
      <c r="B343" s="84" t="s">
        <v>2134</v>
      </c>
      <c r="C343" s="2"/>
      <c r="D343" s="332"/>
      <c r="E343" s="425"/>
      <c r="F343" s="434"/>
      <c r="G343" s="91"/>
    </row>
    <row r="344" spans="1:7" s="277" customFormat="1" ht="12.75">
      <c r="A344" s="131"/>
      <c r="B344" s="84" t="s">
        <v>2135</v>
      </c>
      <c r="C344" s="2"/>
      <c r="D344" s="332"/>
      <c r="E344" s="425"/>
      <c r="F344" s="434"/>
      <c r="G344" s="91"/>
    </row>
    <row r="345" spans="1:7" s="277" customFormat="1" ht="12.75">
      <c r="A345" s="127"/>
      <c r="B345" s="84"/>
      <c r="C345" s="2"/>
      <c r="D345" s="332"/>
      <c r="E345" s="425"/>
      <c r="F345" s="434"/>
      <c r="G345" s="91"/>
    </row>
    <row r="346" spans="1:7" s="277" customFormat="1" ht="12.75">
      <c r="A346" s="119"/>
      <c r="B346" s="84" t="s">
        <v>2689</v>
      </c>
      <c r="C346" s="2"/>
      <c r="D346" s="332"/>
      <c r="E346" s="425"/>
      <c r="F346" s="434"/>
      <c r="G346" s="91"/>
    </row>
    <row r="347" spans="1:7" s="277" customFormat="1" ht="12.75">
      <c r="A347" s="119"/>
      <c r="B347" s="84" t="s">
        <v>2690</v>
      </c>
      <c r="C347" s="2"/>
      <c r="D347" s="332"/>
      <c r="E347" s="425"/>
      <c r="F347" s="434"/>
      <c r="G347" s="91"/>
    </row>
    <row r="348" spans="1:7" s="277" customFormat="1" ht="12.75">
      <c r="A348" s="131"/>
      <c r="B348" s="84" t="s">
        <v>2295</v>
      </c>
      <c r="C348" s="2"/>
      <c r="D348" s="332"/>
      <c r="E348" s="425"/>
      <c r="F348" s="434"/>
      <c r="G348" s="91"/>
    </row>
    <row r="349" spans="1:7" s="277" customFormat="1" ht="12.75">
      <c r="A349" s="127"/>
      <c r="B349" s="84" t="s">
        <v>2296</v>
      </c>
      <c r="C349" s="2"/>
      <c r="D349" s="332"/>
      <c r="E349" s="425"/>
      <c r="F349" s="434"/>
      <c r="G349" s="91"/>
    </row>
    <row r="350" spans="1:7" s="277" customFormat="1" ht="12.75">
      <c r="A350" s="119"/>
      <c r="B350" s="84" t="s">
        <v>2297</v>
      </c>
      <c r="C350" s="2"/>
      <c r="D350" s="332"/>
      <c r="E350" s="425"/>
      <c r="F350" s="434"/>
      <c r="G350" s="91"/>
    </row>
    <row r="351" spans="1:7" s="277" customFormat="1" ht="12.75">
      <c r="A351" s="119"/>
      <c r="B351" s="84" t="s">
        <v>2298</v>
      </c>
      <c r="C351" s="2"/>
      <c r="D351" s="332"/>
      <c r="E351" s="425"/>
      <c r="F351" s="434"/>
      <c r="G351" s="91"/>
    </row>
    <row r="352" spans="1:7" s="277" customFormat="1" ht="12.75">
      <c r="A352" s="119"/>
      <c r="B352" s="71" t="s">
        <v>2299</v>
      </c>
      <c r="C352" s="2"/>
      <c r="D352" s="332"/>
      <c r="E352" s="425"/>
      <c r="F352" s="434"/>
      <c r="G352" s="91"/>
    </row>
    <row r="353" spans="1:7" s="277" customFormat="1" ht="12.75">
      <c r="A353" s="119"/>
      <c r="B353" s="132" t="s">
        <v>2300</v>
      </c>
      <c r="C353" s="2"/>
      <c r="D353" s="332"/>
      <c r="E353" s="425"/>
      <c r="F353" s="434"/>
      <c r="G353" s="91"/>
    </row>
    <row r="354" spans="1:7" s="277" customFormat="1" ht="12.75">
      <c r="A354" s="119"/>
      <c r="B354" s="84" t="s">
        <v>2301</v>
      </c>
      <c r="C354" s="2"/>
      <c r="D354" s="332"/>
      <c r="E354" s="425"/>
      <c r="F354" s="434"/>
      <c r="G354" s="91"/>
    </row>
    <row r="355" spans="1:7" s="277" customFormat="1" ht="12.75">
      <c r="A355" s="119"/>
      <c r="B355" s="84" t="s">
        <v>2533</v>
      </c>
      <c r="C355" s="2"/>
      <c r="D355" s="332"/>
      <c r="E355" s="425"/>
      <c r="F355" s="434"/>
      <c r="G355" s="91"/>
    </row>
    <row r="356" spans="1:7" s="277" customFormat="1" ht="25.5">
      <c r="A356" s="119"/>
      <c r="B356" s="84" t="s">
        <v>2534</v>
      </c>
      <c r="C356" s="2"/>
      <c r="D356" s="332"/>
      <c r="E356" s="425"/>
      <c r="F356" s="434"/>
      <c r="G356" s="91"/>
    </row>
    <row r="357" spans="1:7" s="277" customFormat="1" ht="25.5">
      <c r="A357" s="131"/>
      <c r="B357" s="84" t="s">
        <v>2535</v>
      </c>
      <c r="C357" s="2"/>
      <c r="D357" s="332"/>
      <c r="E357" s="425"/>
      <c r="F357" s="434"/>
      <c r="G357" s="91"/>
    </row>
    <row r="358" spans="1:7" s="277" customFormat="1" ht="12.75">
      <c r="A358" s="127"/>
      <c r="B358" s="84"/>
      <c r="C358" s="2"/>
      <c r="D358" s="332"/>
      <c r="E358" s="425"/>
      <c r="F358" s="434"/>
      <c r="G358" s="91"/>
    </row>
    <row r="359" spans="1:7" s="277" customFormat="1" ht="12.75">
      <c r="A359" s="119"/>
      <c r="B359" s="84" t="s">
        <v>2536</v>
      </c>
      <c r="C359" s="2"/>
      <c r="D359" s="332"/>
      <c r="E359" s="425"/>
      <c r="F359" s="434"/>
      <c r="G359" s="91"/>
    </row>
    <row r="360" spans="1:7" s="277" customFormat="1" ht="12.75">
      <c r="A360" s="119"/>
      <c r="B360" s="84" t="s">
        <v>2537</v>
      </c>
      <c r="C360" s="2" t="s">
        <v>1561</v>
      </c>
      <c r="D360" s="332">
        <v>1</v>
      </c>
      <c r="E360" s="465">
        <f>'Cost break dow.'!V694</f>
        <v>28630.178499127625</v>
      </c>
      <c r="F360" s="466">
        <f>D360*E360</f>
        <v>28630.178499127625</v>
      </c>
      <c r="G360" s="91"/>
    </row>
    <row r="361" spans="1:7" s="277" customFormat="1" ht="12.75">
      <c r="A361" s="131"/>
      <c r="B361" s="84"/>
      <c r="C361" s="2"/>
      <c r="D361" s="332"/>
      <c r="E361" s="425"/>
      <c r="F361" s="434"/>
      <c r="G361" s="91"/>
    </row>
    <row r="362" spans="1:7" s="277" customFormat="1" ht="25.5">
      <c r="A362" s="127" t="s">
        <v>2329</v>
      </c>
      <c r="B362" s="84" t="s">
        <v>2538</v>
      </c>
      <c r="C362" s="2"/>
      <c r="D362" s="332"/>
      <c r="E362" s="425"/>
      <c r="F362" s="434"/>
      <c r="G362" s="91"/>
    </row>
    <row r="363" spans="1:7" s="277" customFormat="1" ht="25.5">
      <c r="A363" s="87"/>
      <c r="B363" s="84" t="s">
        <v>2539</v>
      </c>
      <c r="C363" s="2"/>
      <c r="D363" s="332"/>
      <c r="E363" s="425"/>
      <c r="F363" s="434"/>
      <c r="G363" s="91"/>
    </row>
    <row r="364" spans="1:7" s="277" customFormat="1" ht="12.75">
      <c r="A364" s="119"/>
      <c r="B364" s="84" t="s">
        <v>2540</v>
      </c>
      <c r="C364" s="2"/>
      <c r="D364" s="332"/>
      <c r="E364" s="425"/>
      <c r="F364" s="434"/>
      <c r="G364" s="91"/>
    </row>
    <row r="365" spans="1:7" s="277" customFormat="1" ht="12.75">
      <c r="A365" s="131"/>
      <c r="B365" s="71"/>
      <c r="C365" s="2"/>
      <c r="D365" s="332"/>
      <c r="E365" s="425"/>
      <c r="F365" s="434"/>
      <c r="G365" s="91"/>
    </row>
    <row r="366" spans="1:7" s="277" customFormat="1" ht="12.75">
      <c r="A366" s="127"/>
      <c r="B366" s="132" t="s">
        <v>2541</v>
      </c>
      <c r="C366" s="2"/>
      <c r="D366" s="332"/>
      <c r="E366" s="425"/>
      <c r="F366" s="434"/>
      <c r="G366" s="91"/>
    </row>
    <row r="367" spans="1:7" s="277" customFormat="1" ht="12.75">
      <c r="A367" s="119"/>
      <c r="B367" s="84" t="s">
        <v>2542</v>
      </c>
      <c r="C367" s="2"/>
      <c r="D367" s="332"/>
      <c r="E367" s="425"/>
      <c r="F367" s="434"/>
      <c r="G367" s="91"/>
    </row>
    <row r="368" spans="1:7" s="277" customFormat="1" ht="12.75">
      <c r="A368" s="119"/>
      <c r="B368" s="84" t="s">
        <v>2543</v>
      </c>
      <c r="C368" s="2"/>
      <c r="D368" s="332"/>
      <c r="E368" s="425"/>
      <c r="F368" s="434"/>
      <c r="G368" s="91"/>
    </row>
    <row r="369" spans="1:7" s="277" customFormat="1" ht="12.75">
      <c r="A369" s="131"/>
      <c r="B369" s="84"/>
      <c r="C369" s="2"/>
      <c r="D369" s="332"/>
      <c r="E369" s="425"/>
      <c r="F369" s="434"/>
      <c r="G369" s="91"/>
    </row>
    <row r="370" spans="1:7" s="277" customFormat="1" ht="12.75">
      <c r="A370" s="127"/>
      <c r="B370" s="84" t="s">
        <v>2544</v>
      </c>
      <c r="C370" s="2"/>
      <c r="D370" s="332"/>
      <c r="E370" s="425"/>
      <c r="F370" s="434"/>
      <c r="G370" s="91"/>
    </row>
    <row r="371" spans="1:7" s="277" customFormat="1" ht="12.75">
      <c r="A371" s="119"/>
      <c r="B371" s="84" t="s">
        <v>2537</v>
      </c>
      <c r="C371" s="2" t="s">
        <v>1561</v>
      </c>
      <c r="D371" s="332">
        <v>1</v>
      </c>
      <c r="E371" s="425"/>
      <c r="F371" s="434"/>
      <c r="G371" s="91"/>
    </row>
    <row r="372" spans="1:7" s="277" customFormat="1" ht="12.75">
      <c r="A372" s="119"/>
      <c r="B372" s="84"/>
      <c r="C372" s="2"/>
      <c r="D372" s="332"/>
      <c r="E372" s="425"/>
      <c r="F372" s="434"/>
      <c r="G372" s="91"/>
    </row>
    <row r="373" spans="1:7" s="277" customFormat="1" ht="15.75" customHeight="1">
      <c r="A373" s="119" t="s">
        <v>2330</v>
      </c>
      <c r="B373" s="84" t="s">
        <v>2545</v>
      </c>
      <c r="C373" s="2"/>
      <c r="D373" s="332"/>
      <c r="E373" s="425"/>
      <c r="F373" s="434"/>
      <c r="G373" s="91"/>
    </row>
    <row r="374" spans="1:7" s="277" customFormat="1" ht="25.5">
      <c r="A374" s="131"/>
      <c r="B374" s="84" t="s">
        <v>2539</v>
      </c>
      <c r="C374" s="2"/>
      <c r="D374" s="332"/>
      <c r="E374" s="425"/>
      <c r="F374" s="434"/>
      <c r="G374" s="91"/>
    </row>
    <row r="375" spans="1:7" s="277" customFormat="1" ht="12.75">
      <c r="A375" s="127"/>
      <c r="B375" s="84" t="s">
        <v>2540</v>
      </c>
      <c r="C375" s="2"/>
      <c r="D375" s="332"/>
      <c r="E375" s="425"/>
      <c r="F375" s="434"/>
      <c r="G375" s="91"/>
    </row>
    <row r="376" spans="1:7" s="277" customFormat="1" ht="12.75">
      <c r="A376" s="119"/>
      <c r="B376" s="84"/>
      <c r="C376" s="2"/>
      <c r="D376" s="332"/>
      <c r="E376" s="425"/>
      <c r="F376" s="434"/>
      <c r="G376" s="91"/>
    </row>
    <row r="377" spans="1:7" s="277" customFormat="1" ht="12.75">
      <c r="A377" s="119"/>
      <c r="B377" s="84" t="s">
        <v>2546</v>
      </c>
      <c r="C377" s="2"/>
      <c r="D377" s="332"/>
      <c r="E377" s="425"/>
      <c r="F377" s="434"/>
      <c r="G377" s="91"/>
    </row>
    <row r="378" spans="1:7" s="277" customFormat="1" ht="12.75">
      <c r="A378" s="119"/>
      <c r="B378" s="71" t="s">
        <v>2547</v>
      </c>
      <c r="C378" s="2"/>
      <c r="D378" s="332"/>
      <c r="E378" s="425"/>
      <c r="F378" s="434"/>
      <c r="G378" s="91"/>
    </row>
    <row r="379" spans="1:7" s="277" customFormat="1" ht="12.75">
      <c r="A379" s="119"/>
      <c r="B379" s="132" t="s">
        <v>1563</v>
      </c>
      <c r="C379" s="2"/>
      <c r="D379" s="332"/>
      <c r="E379" s="425"/>
      <c r="F379" s="434"/>
      <c r="G379" s="91"/>
    </row>
    <row r="380" spans="1:7" s="277" customFormat="1" ht="12.75">
      <c r="A380" s="119"/>
      <c r="B380" s="84" t="s">
        <v>2548</v>
      </c>
      <c r="C380" s="2"/>
      <c r="D380" s="332"/>
      <c r="E380" s="425"/>
      <c r="F380" s="434"/>
      <c r="G380" s="91"/>
    </row>
    <row r="381" spans="1:7" s="277" customFormat="1" ht="12.75">
      <c r="A381" s="119"/>
      <c r="B381" s="84"/>
      <c r="C381" s="2"/>
      <c r="D381" s="332"/>
      <c r="E381" s="425"/>
      <c r="F381" s="434"/>
      <c r="G381" s="91"/>
    </row>
    <row r="382" spans="1:7" s="277" customFormat="1" ht="12.75">
      <c r="A382" s="119"/>
      <c r="B382" s="84" t="s">
        <v>2619</v>
      </c>
      <c r="C382" s="2"/>
      <c r="D382" s="332"/>
      <c r="E382" s="425"/>
      <c r="F382" s="434"/>
      <c r="G382" s="91"/>
    </row>
    <row r="383" spans="1:7" s="277" customFormat="1" ht="12.75">
      <c r="A383" s="131"/>
      <c r="B383" s="84" t="s">
        <v>2537</v>
      </c>
      <c r="C383" s="2" t="s">
        <v>1561</v>
      </c>
      <c r="D383" s="332">
        <v>1</v>
      </c>
      <c r="E383" s="465">
        <f>'Cost break dow.'!V711</f>
        <v>7680.21235548105</v>
      </c>
      <c r="F383" s="466">
        <f>D383*E383</f>
        <v>7680.21235548105</v>
      </c>
      <c r="G383" s="91"/>
    </row>
    <row r="384" spans="1:7" s="277" customFormat="1" ht="12.75">
      <c r="A384" s="127"/>
      <c r="B384" s="84"/>
      <c r="C384" s="2"/>
      <c r="D384" s="332"/>
      <c r="E384" s="425"/>
      <c r="F384" s="434"/>
      <c r="G384" s="91"/>
    </row>
    <row r="385" spans="1:7" s="277" customFormat="1" ht="25.5">
      <c r="A385" s="119" t="s">
        <v>2331</v>
      </c>
      <c r="B385" s="84" t="s">
        <v>2620</v>
      </c>
      <c r="C385" s="2"/>
      <c r="D385" s="332"/>
      <c r="E385" s="425"/>
      <c r="F385" s="434"/>
      <c r="G385" s="91"/>
    </row>
    <row r="386" spans="1:7" s="277" customFormat="1" ht="25.5">
      <c r="A386" s="119"/>
      <c r="B386" s="84" t="s">
        <v>2539</v>
      </c>
      <c r="C386" s="2"/>
      <c r="D386" s="332"/>
      <c r="E386" s="425"/>
      <c r="F386" s="434"/>
      <c r="G386" s="91"/>
    </row>
    <row r="387" spans="1:7" s="277" customFormat="1" ht="12.75">
      <c r="A387" s="131"/>
      <c r="B387" s="84" t="s">
        <v>2540</v>
      </c>
      <c r="C387" s="2"/>
      <c r="D387" s="332"/>
      <c r="E387" s="425"/>
      <c r="F387" s="434"/>
      <c r="G387" s="91"/>
    </row>
    <row r="388" spans="1:7" s="277" customFormat="1" ht="12.75">
      <c r="A388" s="127"/>
      <c r="B388" s="84"/>
      <c r="C388" s="2"/>
      <c r="D388" s="332"/>
      <c r="E388" s="425"/>
      <c r="F388" s="434"/>
      <c r="G388" s="91"/>
    </row>
    <row r="389" spans="1:7" s="277" customFormat="1" ht="12.75">
      <c r="A389" s="119"/>
      <c r="B389" s="84" t="s">
        <v>2546</v>
      </c>
      <c r="C389" s="2"/>
      <c r="D389" s="332"/>
      <c r="E389" s="425"/>
      <c r="F389" s="434"/>
      <c r="G389" s="91"/>
    </row>
    <row r="390" spans="1:7" s="277" customFormat="1" ht="12.75">
      <c r="A390" s="119"/>
      <c r="B390" s="84" t="s">
        <v>2547</v>
      </c>
      <c r="C390" s="2"/>
      <c r="D390" s="332"/>
      <c r="E390" s="425"/>
      <c r="F390" s="434"/>
      <c r="G390" s="91"/>
    </row>
    <row r="391" spans="1:7" s="277" customFormat="1" ht="12.75">
      <c r="A391" s="119"/>
      <c r="B391" s="71" t="s">
        <v>1563</v>
      </c>
      <c r="C391" s="2"/>
      <c r="D391" s="332"/>
      <c r="E391" s="425"/>
      <c r="F391" s="434"/>
      <c r="G391" s="91"/>
    </row>
    <row r="392" spans="1:7" s="277" customFormat="1" ht="12.75">
      <c r="A392" s="119"/>
      <c r="B392" s="132" t="s">
        <v>2548</v>
      </c>
      <c r="C392" s="2"/>
      <c r="D392" s="332"/>
      <c r="E392" s="425"/>
      <c r="F392" s="434"/>
      <c r="G392" s="91"/>
    </row>
    <row r="393" spans="1:7" s="277" customFormat="1" ht="12.75">
      <c r="A393" s="119"/>
      <c r="B393" s="84"/>
      <c r="C393" s="2"/>
      <c r="D393" s="332"/>
      <c r="E393" s="425"/>
      <c r="F393" s="434"/>
      <c r="G393" s="91"/>
    </row>
    <row r="394" spans="1:7" s="277" customFormat="1" ht="12.75">
      <c r="A394" s="119"/>
      <c r="B394" s="84" t="s">
        <v>2619</v>
      </c>
      <c r="C394" s="2"/>
      <c r="D394" s="332"/>
      <c r="E394" s="425"/>
      <c r="F394" s="434"/>
      <c r="G394" s="91"/>
    </row>
    <row r="395" spans="1:7" s="277" customFormat="1" ht="12.75">
      <c r="A395" s="119"/>
      <c r="B395" s="84" t="s">
        <v>2537</v>
      </c>
      <c r="C395" s="2" t="s">
        <v>1561</v>
      </c>
      <c r="D395" s="332">
        <v>1</v>
      </c>
      <c r="E395" s="465">
        <f>'Cost break dow.'!V711</f>
        <v>7680.21235548105</v>
      </c>
      <c r="F395" s="466">
        <f>D395*E395</f>
        <v>7680.21235548105</v>
      </c>
      <c r="G395" s="91"/>
    </row>
    <row r="396" spans="1:7" s="277" customFormat="1" ht="12.75">
      <c r="A396" s="131"/>
      <c r="B396" s="84"/>
      <c r="C396" s="2"/>
      <c r="D396" s="332"/>
      <c r="E396" s="425"/>
      <c r="F396" s="434"/>
      <c r="G396" s="91"/>
    </row>
    <row r="397" spans="1:7" s="277" customFormat="1" ht="15.75" customHeight="1">
      <c r="A397" s="127" t="s">
        <v>2332</v>
      </c>
      <c r="B397" s="84" t="s">
        <v>2621</v>
      </c>
      <c r="C397" s="2"/>
      <c r="D397" s="332"/>
      <c r="E397" s="425"/>
      <c r="F397" s="434"/>
      <c r="G397" s="91"/>
    </row>
    <row r="398" spans="1:7" s="277" customFormat="1" ht="25.5">
      <c r="A398" s="119"/>
      <c r="B398" s="84" t="s">
        <v>2539</v>
      </c>
      <c r="C398" s="2"/>
      <c r="D398" s="332"/>
      <c r="E398" s="425"/>
      <c r="F398" s="434"/>
      <c r="G398" s="91"/>
    </row>
    <row r="399" spans="1:7" s="277" customFormat="1" ht="12.75">
      <c r="A399" s="119"/>
      <c r="B399" s="84" t="s">
        <v>2540</v>
      </c>
      <c r="C399" s="2"/>
      <c r="D399" s="332"/>
      <c r="E399" s="425"/>
      <c r="F399" s="434"/>
      <c r="G399" s="91"/>
    </row>
    <row r="400" spans="1:7" s="277" customFormat="1" ht="12.75">
      <c r="A400" s="131"/>
      <c r="B400" s="84"/>
      <c r="C400" s="2"/>
      <c r="D400" s="332"/>
      <c r="E400" s="425"/>
      <c r="F400" s="434"/>
      <c r="G400" s="91"/>
    </row>
    <row r="401" spans="1:7" s="277" customFormat="1" ht="12.75">
      <c r="A401" s="127"/>
      <c r="B401" s="84" t="s">
        <v>2622</v>
      </c>
      <c r="C401" s="2"/>
      <c r="D401" s="332"/>
      <c r="E401" s="425"/>
      <c r="F401" s="434"/>
      <c r="G401" s="91"/>
    </row>
    <row r="402" spans="1:7" s="277" customFormat="1" ht="12.75">
      <c r="A402" s="119"/>
      <c r="B402" s="84" t="s">
        <v>2623</v>
      </c>
      <c r="C402" s="2"/>
      <c r="D402" s="332"/>
      <c r="E402" s="425"/>
      <c r="F402" s="434"/>
      <c r="G402" s="91"/>
    </row>
    <row r="403" spans="1:7" s="277" customFormat="1" ht="12.75">
      <c r="A403" s="119"/>
      <c r="B403" s="84" t="s">
        <v>1562</v>
      </c>
      <c r="C403" s="2"/>
      <c r="D403" s="332"/>
      <c r="E403" s="425"/>
      <c r="F403" s="434"/>
      <c r="G403" s="91"/>
    </row>
    <row r="404" spans="1:7" s="277" customFormat="1" ht="12.75">
      <c r="A404" s="119"/>
      <c r="B404" s="71"/>
      <c r="C404" s="2"/>
      <c r="D404" s="332"/>
      <c r="E404" s="425"/>
      <c r="F404" s="434"/>
      <c r="G404" s="91"/>
    </row>
    <row r="405" spans="1:7" s="277" customFormat="1" ht="12.75">
      <c r="A405" s="119"/>
      <c r="B405" s="132" t="s">
        <v>2544</v>
      </c>
      <c r="C405" s="2"/>
      <c r="D405" s="332"/>
      <c r="E405" s="425"/>
      <c r="F405" s="434"/>
      <c r="G405" s="91"/>
    </row>
    <row r="406" spans="1:7" s="277" customFormat="1" ht="12.75">
      <c r="A406" s="119"/>
      <c r="B406" s="84" t="s">
        <v>2537</v>
      </c>
      <c r="C406" s="2" t="s">
        <v>1561</v>
      </c>
      <c r="D406" s="332">
        <v>1</v>
      </c>
      <c r="E406" s="465">
        <f>'Cost break dow.'!V728</f>
        <v>2316.76740449105</v>
      </c>
      <c r="F406" s="466">
        <f>D406*E406</f>
        <v>2316.76740449105</v>
      </c>
      <c r="G406" s="91"/>
    </row>
    <row r="407" spans="1:7" s="277" customFormat="1" ht="12.75">
      <c r="A407" s="119"/>
      <c r="B407" s="84"/>
      <c r="C407" s="2"/>
      <c r="D407" s="332"/>
      <c r="E407" s="425"/>
      <c r="F407" s="434"/>
      <c r="G407" s="91"/>
    </row>
    <row r="408" spans="1:7" s="277" customFormat="1" ht="12.75" customHeight="1">
      <c r="A408" s="119" t="s">
        <v>863</v>
      </c>
      <c r="B408" s="84" t="s">
        <v>2624</v>
      </c>
      <c r="C408" s="2"/>
      <c r="D408" s="332"/>
      <c r="E408" s="425"/>
      <c r="F408" s="434"/>
      <c r="G408" s="91"/>
    </row>
    <row r="409" spans="1:7" s="277" customFormat="1" ht="25.5">
      <c r="A409" s="119"/>
      <c r="B409" s="84" t="s">
        <v>2539</v>
      </c>
      <c r="C409" s="2"/>
      <c r="D409" s="332"/>
      <c r="E409" s="425"/>
      <c r="F409" s="434"/>
      <c r="G409" s="91"/>
    </row>
    <row r="410" spans="1:7" s="277" customFormat="1" ht="12.75">
      <c r="A410" s="131"/>
      <c r="B410" s="84" t="s">
        <v>2540</v>
      </c>
      <c r="C410" s="2"/>
      <c r="D410" s="332"/>
      <c r="E410" s="425"/>
      <c r="F410" s="434"/>
      <c r="G410" s="91"/>
    </row>
    <row r="411" spans="1:7" s="277" customFormat="1" ht="12.75">
      <c r="A411" s="127"/>
      <c r="B411" s="84"/>
      <c r="C411" s="2"/>
      <c r="D411" s="332"/>
      <c r="E411" s="425"/>
      <c r="F411" s="434"/>
      <c r="G411" s="91"/>
    </row>
    <row r="412" spans="1:7" s="277" customFormat="1" ht="12.75">
      <c r="A412" s="119"/>
      <c r="B412" s="84" t="s">
        <v>2622</v>
      </c>
      <c r="C412" s="2"/>
      <c r="D412" s="332"/>
      <c r="E412" s="425"/>
      <c r="F412" s="434"/>
      <c r="G412" s="91"/>
    </row>
    <row r="413" spans="1:7" s="277" customFormat="1" ht="12.75">
      <c r="A413" s="119"/>
      <c r="B413" s="84" t="s">
        <v>2625</v>
      </c>
      <c r="C413" s="2"/>
      <c r="D413" s="332"/>
      <c r="E413" s="425"/>
      <c r="F413" s="434"/>
      <c r="G413" s="91"/>
    </row>
    <row r="414" spans="1:7" s="277" customFormat="1" ht="12.75">
      <c r="A414" s="131"/>
      <c r="B414" s="84" t="s">
        <v>1212</v>
      </c>
      <c r="C414" s="2"/>
      <c r="D414" s="332"/>
      <c r="E414" s="425"/>
      <c r="F414" s="434"/>
      <c r="G414" s="91"/>
    </row>
    <row r="415" spans="1:7" s="277" customFormat="1" ht="12.75">
      <c r="A415" s="127"/>
      <c r="B415" s="84" t="s">
        <v>2626</v>
      </c>
      <c r="C415" s="2"/>
      <c r="D415" s="332"/>
      <c r="E415" s="425"/>
      <c r="F415" s="434"/>
      <c r="G415" s="91"/>
    </row>
    <row r="416" spans="1:7" s="277" customFormat="1" ht="12.75">
      <c r="A416" s="119"/>
      <c r="B416" s="84"/>
      <c r="C416" s="2"/>
      <c r="D416" s="332"/>
      <c r="E416" s="425"/>
      <c r="F416" s="434"/>
      <c r="G416" s="91"/>
    </row>
    <row r="417" spans="1:7" s="277" customFormat="1" ht="12.75">
      <c r="A417" s="119"/>
      <c r="B417" s="84" t="s">
        <v>2544</v>
      </c>
      <c r="C417" s="2"/>
      <c r="D417" s="332"/>
      <c r="E417" s="425"/>
      <c r="F417" s="434"/>
      <c r="G417" s="91"/>
    </row>
    <row r="418" spans="1:7" s="277" customFormat="1" ht="12.75">
      <c r="A418" s="119"/>
      <c r="B418" s="71" t="s">
        <v>2537</v>
      </c>
      <c r="C418" s="2" t="s">
        <v>1561</v>
      </c>
      <c r="D418" s="332">
        <v>1</v>
      </c>
      <c r="E418" s="465">
        <f>'Cost break dow.'!V728</f>
        <v>2316.76740449105</v>
      </c>
      <c r="F418" s="466">
        <f>D418*E418</f>
        <v>2316.76740449105</v>
      </c>
      <c r="G418" s="91"/>
    </row>
    <row r="419" spans="1:7" s="277" customFormat="1" ht="12.75">
      <c r="A419" s="119"/>
      <c r="B419" s="132"/>
      <c r="C419" s="2"/>
      <c r="D419" s="332"/>
      <c r="E419" s="425"/>
      <c r="F419" s="434"/>
      <c r="G419" s="91"/>
    </row>
    <row r="420" spans="1:7" s="277" customFormat="1" ht="12.75" customHeight="1">
      <c r="A420" s="119" t="s">
        <v>864</v>
      </c>
      <c r="B420" s="84" t="s">
        <v>2627</v>
      </c>
      <c r="C420" s="2"/>
      <c r="D420" s="332"/>
      <c r="E420" s="425"/>
      <c r="F420" s="434"/>
      <c r="G420" s="91"/>
    </row>
    <row r="421" spans="1:7" s="277" customFormat="1" ht="25.5">
      <c r="A421" s="119"/>
      <c r="B421" s="84" t="s">
        <v>2628</v>
      </c>
      <c r="C421" s="2"/>
      <c r="D421" s="332"/>
      <c r="E421" s="425"/>
      <c r="F421" s="434"/>
      <c r="G421" s="91"/>
    </row>
    <row r="422" spans="1:7" s="277" customFormat="1" ht="12.75">
      <c r="A422" s="119"/>
      <c r="B422" s="84" t="s">
        <v>2540</v>
      </c>
      <c r="C422" s="2"/>
      <c r="D422" s="332"/>
      <c r="E422" s="425"/>
      <c r="F422" s="434"/>
      <c r="G422" s="91"/>
    </row>
    <row r="423" spans="1:7" s="277" customFormat="1" ht="12.75">
      <c r="A423" s="131"/>
      <c r="B423" s="84"/>
      <c r="C423" s="2"/>
      <c r="D423" s="332"/>
      <c r="E423" s="425"/>
      <c r="F423" s="434"/>
      <c r="G423" s="91"/>
    </row>
    <row r="424" spans="1:7" s="277" customFormat="1" ht="12.75">
      <c r="A424" s="127"/>
      <c r="B424" s="84" t="s">
        <v>2629</v>
      </c>
      <c r="C424" s="2"/>
      <c r="D424" s="332"/>
      <c r="E424" s="425"/>
      <c r="F424" s="434"/>
      <c r="G424" s="91"/>
    </row>
    <row r="425" spans="1:7" s="277" customFormat="1" ht="12.75">
      <c r="A425" s="119"/>
      <c r="B425" s="84" t="s">
        <v>2543</v>
      </c>
      <c r="C425" s="2"/>
      <c r="D425" s="332"/>
      <c r="E425" s="425"/>
      <c r="F425" s="434"/>
      <c r="G425" s="91"/>
    </row>
    <row r="426" spans="1:7" s="277" customFormat="1" ht="12.75">
      <c r="A426" s="119"/>
      <c r="B426" s="84" t="s">
        <v>2548</v>
      </c>
      <c r="C426" s="2"/>
      <c r="D426" s="332"/>
      <c r="E426" s="425"/>
      <c r="F426" s="434"/>
      <c r="G426" s="91"/>
    </row>
    <row r="427" spans="1:7" s="277" customFormat="1" ht="12.75">
      <c r="A427" s="131"/>
      <c r="B427" s="84"/>
      <c r="C427" s="2"/>
      <c r="D427" s="332"/>
      <c r="E427" s="425"/>
      <c r="F427" s="434"/>
      <c r="G427" s="91"/>
    </row>
    <row r="428" spans="1:7" s="277" customFormat="1" ht="12.75">
      <c r="A428" s="127"/>
      <c r="B428" s="84" t="s">
        <v>2630</v>
      </c>
      <c r="C428" s="2"/>
      <c r="D428" s="332"/>
      <c r="E428" s="425"/>
      <c r="F428" s="434"/>
      <c r="G428" s="91"/>
    </row>
    <row r="429" spans="1:7" s="277" customFormat="1" ht="12.75">
      <c r="A429" s="119"/>
      <c r="B429" s="84" t="s">
        <v>2537</v>
      </c>
      <c r="C429" s="2" t="s">
        <v>1561</v>
      </c>
      <c r="D429" s="332">
        <v>1</v>
      </c>
      <c r="E429" s="465">
        <f>'Cost break dow.'!V736</f>
        <v>1198.834038745525</v>
      </c>
      <c r="F429" s="466">
        <f>D429*E429</f>
        <v>1198.834038745525</v>
      </c>
      <c r="G429" s="91"/>
    </row>
    <row r="430" spans="1:7" s="277" customFormat="1" ht="12.75">
      <c r="A430" s="119"/>
      <c r="B430" s="84"/>
      <c r="C430" s="2"/>
      <c r="D430" s="332"/>
      <c r="E430" s="425"/>
      <c r="F430" s="434"/>
      <c r="G430" s="91"/>
    </row>
    <row r="431" spans="1:7" s="277" customFormat="1" ht="12.75">
      <c r="A431" s="119" t="s">
        <v>865</v>
      </c>
      <c r="B431" s="71" t="s">
        <v>2631</v>
      </c>
      <c r="C431" s="2"/>
      <c r="D431" s="332"/>
      <c r="E431" s="425"/>
      <c r="F431" s="434"/>
      <c r="G431" s="91"/>
    </row>
    <row r="432" spans="1:7" s="277" customFormat="1" ht="12.75">
      <c r="A432" s="119"/>
      <c r="B432" s="132"/>
      <c r="C432" s="2"/>
      <c r="D432" s="332"/>
      <c r="E432" s="425"/>
      <c r="F432" s="434"/>
      <c r="G432" s="91"/>
    </row>
    <row r="433" spans="1:7" s="277" customFormat="1" ht="12.75">
      <c r="A433" s="119"/>
      <c r="B433" s="84" t="s">
        <v>2629</v>
      </c>
      <c r="C433" s="2"/>
      <c r="D433" s="332"/>
      <c r="E433" s="425"/>
      <c r="F433" s="434"/>
      <c r="G433" s="91"/>
    </row>
    <row r="434" spans="1:7" s="277" customFormat="1" ht="12.75">
      <c r="A434" s="119"/>
      <c r="B434" s="84" t="s">
        <v>2543</v>
      </c>
      <c r="C434" s="2"/>
      <c r="D434" s="332"/>
      <c r="E434" s="425"/>
      <c r="F434" s="434"/>
      <c r="G434" s="91"/>
    </row>
    <row r="435" spans="1:7" s="277" customFormat="1" ht="12.75">
      <c r="A435" s="119"/>
      <c r="B435" s="84" t="s">
        <v>2548</v>
      </c>
      <c r="C435" s="2"/>
      <c r="D435" s="332"/>
      <c r="E435" s="425"/>
      <c r="F435" s="434"/>
      <c r="G435" s="91"/>
    </row>
    <row r="436" spans="1:7" s="277" customFormat="1" ht="12.75">
      <c r="A436" s="131"/>
      <c r="B436" s="84"/>
      <c r="C436" s="2"/>
      <c r="D436" s="332"/>
      <c r="E436" s="425"/>
      <c r="F436" s="434"/>
      <c r="G436" s="91"/>
    </row>
    <row r="437" spans="1:7" s="277" customFormat="1" ht="12.75">
      <c r="A437" s="127"/>
      <c r="B437" s="84" t="s">
        <v>2630</v>
      </c>
      <c r="C437" s="2"/>
      <c r="D437" s="332"/>
      <c r="E437" s="425"/>
      <c r="F437" s="434"/>
      <c r="G437" s="91"/>
    </row>
    <row r="438" spans="1:7" s="277" customFormat="1" ht="12.75">
      <c r="A438" s="119"/>
      <c r="B438" s="84" t="s">
        <v>2537</v>
      </c>
      <c r="C438" s="2" t="s">
        <v>1561</v>
      </c>
      <c r="D438" s="332">
        <v>1</v>
      </c>
      <c r="E438" s="465">
        <f>'Cost break dow.'!V736</f>
        <v>1198.834038745525</v>
      </c>
      <c r="F438" s="466">
        <f>D438*E438</f>
        <v>1198.834038745525</v>
      </c>
      <c r="G438" s="91"/>
    </row>
    <row r="439" spans="1:7" s="277" customFormat="1" ht="12.75">
      <c r="A439" s="119"/>
      <c r="B439" s="84"/>
      <c r="C439" s="2"/>
      <c r="D439" s="332"/>
      <c r="E439" s="425"/>
      <c r="F439" s="466">
        <f aca="true" t="shared" si="1" ref="F439:F502">D439*E439</f>
        <v>0</v>
      </c>
      <c r="G439" s="91"/>
    </row>
    <row r="440" spans="1:7" s="277" customFormat="1" ht="12.75">
      <c r="A440" s="119" t="s">
        <v>866</v>
      </c>
      <c r="B440" s="84" t="s">
        <v>2632</v>
      </c>
      <c r="C440" s="2"/>
      <c r="D440" s="332"/>
      <c r="E440" s="425"/>
      <c r="F440" s="466">
        <f t="shared" si="1"/>
        <v>0</v>
      </c>
      <c r="G440" s="91"/>
    </row>
    <row r="441" spans="1:7" s="277" customFormat="1" ht="12.75">
      <c r="A441" s="127"/>
      <c r="B441" s="84"/>
      <c r="C441" s="2"/>
      <c r="D441" s="332"/>
      <c r="E441" s="425"/>
      <c r="F441" s="466">
        <f t="shared" si="1"/>
        <v>0</v>
      </c>
      <c r="G441" s="91"/>
    </row>
    <row r="442" spans="1:7" s="277" customFormat="1" ht="12.75">
      <c r="A442" s="119"/>
      <c r="B442" s="84" t="s">
        <v>2629</v>
      </c>
      <c r="C442" s="2"/>
      <c r="D442" s="332"/>
      <c r="E442" s="425"/>
      <c r="F442" s="466">
        <f t="shared" si="1"/>
        <v>0</v>
      </c>
      <c r="G442" s="91"/>
    </row>
    <row r="443" spans="1:7" s="277" customFormat="1" ht="12.75">
      <c r="A443" s="119"/>
      <c r="B443" s="84" t="s">
        <v>2633</v>
      </c>
      <c r="C443" s="2"/>
      <c r="D443" s="332"/>
      <c r="E443" s="425"/>
      <c r="F443" s="466">
        <f t="shared" si="1"/>
        <v>0</v>
      </c>
      <c r="G443" s="91"/>
    </row>
    <row r="444" spans="1:7" s="277" customFormat="1" ht="12.75">
      <c r="A444" s="119"/>
      <c r="B444" s="71" t="s">
        <v>2548</v>
      </c>
      <c r="C444" s="2"/>
      <c r="D444" s="332"/>
      <c r="E444" s="425"/>
      <c r="F444" s="466">
        <f t="shared" si="1"/>
        <v>0</v>
      </c>
      <c r="G444" s="91"/>
    </row>
    <row r="445" spans="1:7" s="277" customFormat="1" ht="12.75">
      <c r="A445" s="119"/>
      <c r="B445" s="132"/>
      <c r="C445" s="2"/>
      <c r="D445" s="332"/>
      <c r="E445" s="425"/>
      <c r="F445" s="466">
        <f t="shared" si="1"/>
        <v>0</v>
      </c>
      <c r="G445" s="91"/>
    </row>
    <row r="446" spans="1:7" s="277" customFormat="1" ht="12.75">
      <c r="A446" s="119"/>
      <c r="B446" s="84" t="s">
        <v>2630</v>
      </c>
      <c r="C446" s="2"/>
      <c r="D446" s="332"/>
      <c r="E446" s="425"/>
      <c r="F446" s="466">
        <f t="shared" si="1"/>
        <v>0</v>
      </c>
      <c r="G446" s="91"/>
    </row>
    <row r="447" spans="1:7" s="277" customFormat="1" ht="12.75">
      <c r="A447" s="119"/>
      <c r="B447" s="84" t="s">
        <v>2537</v>
      </c>
      <c r="C447" s="2" t="s">
        <v>1561</v>
      </c>
      <c r="D447" s="332">
        <v>1</v>
      </c>
      <c r="E447" s="465">
        <f>'Cost break dow.'!V736</f>
        <v>1198.834038745525</v>
      </c>
      <c r="F447" s="466">
        <f t="shared" si="1"/>
        <v>1198.834038745525</v>
      </c>
      <c r="G447" s="91"/>
    </row>
    <row r="448" spans="1:7" s="277" customFormat="1" ht="12.75">
      <c r="A448" s="119"/>
      <c r="B448" s="84"/>
      <c r="C448" s="2"/>
      <c r="D448" s="332"/>
      <c r="E448" s="425"/>
      <c r="F448" s="466">
        <f t="shared" si="1"/>
        <v>0</v>
      </c>
      <c r="G448" s="91"/>
    </row>
    <row r="449" spans="1:7" s="277" customFormat="1" ht="12.75">
      <c r="A449" s="266" t="s">
        <v>867</v>
      </c>
      <c r="B449" s="84" t="s">
        <v>2808</v>
      </c>
      <c r="C449" s="2"/>
      <c r="D449" s="332"/>
      <c r="E449" s="425"/>
      <c r="F449" s="466">
        <f t="shared" si="1"/>
        <v>0</v>
      </c>
      <c r="G449" s="91"/>
    </row>
    <row r="450" spans="1:7" s="277" customFormat="1" ht="12.75">
      <c r="A450" s="119"/>
      <c r="B450" s="84"/>
      <c r="C450" s="2"/>
      <c r="D450" s="332"/>
      <c r="E450" s="425"/>
      <c r="F450" s="466">
        <f t="shared" si="1"/>
        <v>0</v>
      </c>
      <c r="G450" s="91"/>
    </row>
    <row r="451" spans="1:7" s="277" customFormat="1" ht="12.75">
      <c r="A451" s="119"/>
      <c r="B451" s="71" t="s">
        <v>2629</v>
      </c>
      <c r="C451" s="2"/>
      <c r="D451" s="332"/>
      <c r="E451" s="425"/>
      <c r="F451" s="466">
        <f t="shared" si="1"/>
        <v>0</v>
      </c>
      <c r="G451" s="91"/>
    </row>
    <row r="452" spans="1:7" s="277" customFormat="1" ht="12.75">
      <c r="A452" s="119"/>
      <c r="B452" s="132" t="s">
        <v>2543</v>
      </c>
      <c r="C452" s="2"/>
      <c r="D452" s="332"/>
      <c r="E452" s="425"/>
      <c r="F452" s="466">
        <f t="shared" si="1"/>
        <v>0</v>
      </c>
      <c r="G452" s="91"/>
    </row>
    <row r="453" spans="1:7" s="277" customFormat="1" ht="12.75">
      <c r="A453" s="119"/>
      <c r="B453" s="84" t="s">
        <v>2548</v>
      </c>
      <c r="C453" s="2"/>
      <c r="D453" s="332"/>
      <c r="E453" s="425"/>
      <c r="F453" s="466">
        <f t="shared" si="1"/>
        <v>0</v>
      </c>
      <c r="G453" s="91"/>
    </row>
    <row r="454" spans="1:7" s="277" customFormat="1" ht="12.75">
      <c r="A454" s="119"/>
      <c r="B454" s="84"/>
      <c r="C454" s="2"/>
      <c r="D454" s="332"/>
      <c r="E454" s="425"/>
      <c r="F454" s="466">
        <f t="shared" si="1"/>
        <v>0</v>
      </c>
      <c r="G454" s="91"/>
    </row>
    <row r="455" spans="1:7" s="277" customFormat="1" ht="12.75">
      <c r="A455" s="119"/>
      <c r="B455" s="84" t="s">
        <v>2630</v>
      </c>
      <c r="C455" s="2"/>
      <c r="D455" s="332"/>
      <c r="E455" s="425"/>
      <c r="F455" s="466">
        <f t="shared" si="1"/>
        <v>0</v>
      </c>
      <c r="G455" s="91"/>
    </row>
    <row r="456" spans="1:7" s="277" customFormat="1" ht="12.75">
      <c r="A456" s="131"/>
      <c r="B456" s="84" t="s">
        <v>2537</v>
      </c>
      <c r="C456" s="2" t="s">
        <v>1561</v>
      </c>
      <c r="D456" s="332">
        <v>1</v>
      </c>
      <c r="E456" s="465">
        <f>'Cost break dow.'!V736</f>
        <v>1198.834038745525</v>
      </c>
      <c r="F456" s="466">
        <f t="shared" si="1"/>
        <v>1198.834038745525</v>
      </c>
      <c r="G456" s="91"/>
    </row>
    <row r="457" spans="1:7" s="277" customFormat="1" ht="12.75">
      <c r="A457" s="127"/>
      <c r="B457" s="84"/>
      <c r="C457" s="2"/>
      <c r="D457" s="332"/>
      <c r="E457" s="425"/>
      <c r="F457" s="466">
        <f t="shared" si="1"/>
        <v>0</v>
      </c>
      <c r="G457" s="91"/>
    </row>
    <row r="458" spans="1:7" s="277" customFormat="1" ht="12.75">
      <c r="A458" s="119" t="s">
        <v>472</v>
      </c>
      <c r="B458" s="84" t="s">
        <v>2809</v>
      </c>
      <c r="C458" s="2"/>
      <c r="D458" s="332"/>
      <c r="E458" s="425"/>
      <c r="F458" s="466">
        <f t="shared" si="1"/>
        <v>0</v>
      </c>
      <c r="G458" s="91"/>
    </row>
    <row r="459" spans="1:7" s="277" customFormat="1" ht="12.75">
      <c r="A459" s="119"/>
      <c r="B459" s="84"/>
      <c r="C459" s="2"/>
      <c r="D459" s="332"/>
      <c r="E459" s="425"/>
      <c r="F459" s="466">
        <f t="shared" si="1"/>
        <v>0</v>
      </c>
      <c r="G459" s="91"/>
    </row>
    <row r="460" spans="1:7" s="277" customFormat="1" ht="12.75">
      <c r="A460" s="131"/>
      <c r="B460" s="84" t="s">
        <v>2629</v>
      </c>
      <c r="C460" s="2"/>
      <c r="D460" s="332"/>
      <c r="E460" s="425"/>
      <c r="F460" s="466">
        <f t="shared" si="1"/>
        <v>0</v>
      </c>
      <c r="G460" s="91"/>
    </row>
    <row r="461" spans="1:7" s="277" customFormat="1" ht="12.75">
      <c r="A461" s="127"/>
      <c r="B461" s="84" t="s">
        <v>2543</v>
      </c>
      <c r="C461" s="2"/>
      <c r="D461" s="332"/>
      <c r="E461" s="425"/>
      <c r="F461" s="466">
        <f t="shared" si="1"/>
        <v>0</v>
      </c>
      <c r="G461" s="91"/>
    </row>
    <row r="462" spans="1:7" s="277" customFormat="1" ht="12.75">
      <c r="A462" s="119"/>
      <c r="B462" s="84" t="s">
        <v>2548</v>
      </c>
      <c r="C462" s="2"/>
      <c r="D462" s="332"/>
      <c r="E462" s="425"/>
      <c r="F462" s="466">
        <f t="shared" si="1"/>
        <v>0</v>
      </c>
      <c r="G462" s="91"/>
    </row>
    <row r="463" spans="1:7" s="277" customFormat="1" ht="12.75">
      <c r="A463" s="119"/>
      <c r="B463" s="84"/>
      <c r="C463" s="2"/>
      <c r="D463" s="332"/>
      <c r="E463" s="425"/>
      <c r="F463" s="466">
        <f t="shared" si="1"/>
        <v>0</v>
      </c>
      <c r="G463" s="91"/>
    </row>
    <row r="464" spans="1:7" s="277" customFormat="1" ht="12.75">
      <c r="A464" s="119"/>
      <c r="B464" s="71" t="s">
        <v>2630</v>
      </c>
      <c r="C464" s="2"/>
      <c r="D464" s="332"/>
      <c r="E464" s="425"/>
      <c r="F464" s="466">
        <f t="shared" si="1"/>
        <v>0</v>
      </c>
      <c r="G464" s="91"/>
    </row>
    <row r="465" spans="1:7" s="277" customFormat="1" ht="12.75">
      <c r="A465" s="119"/>
      <c r="B465" s="132" t="s">
        <v>2537</v>
      </c>
      <c r="C465" s="2" t="s">
        <v>1561</v>
      </c>
      <c r="D465" s="332">
        <v>1</v>
      </c>
      <c r="E465" s="465">
        <f>'Cost break dow.'!V736</f>
        <v>1198.834038745525</v>
      </c>
      <c r="F465" s="466">
        <f t="shared" si="1"/>
        <v>1198.834038745525</v>
      </c>
      <c r="G465" s="91"/>
    </row>
    <row r="466" spans="1:7" s="277" customFormat="1" ht="12.75">
      <c r="A466" s="119"/>
      <c r="B466" s="84"/>
      <c r="C466" s="2"/>
      <c r="D466" s="332"/>
      <c r="E466" s="425"/>
      <c r="F466" s="466">
        <f t="shared" si="1"/>
        <v>0</v>
      </c>
      <c r="G466" s="91"/>
    </row>
    <row r="467" spans="1:7" s="277" customFormat="1" ht="12.75">
      <c r="A467" s="119" t="s">
        <v>473</v>
      </c>
      <c r="B467" s="84" t="s">
        <v>2271</v>
      </c>
      <c r="C467" s="2"/>
      <c r="D467" s="332"/>
      <c r="E467" s="425"/>
      <c r="F467" s="466">
        <f t="shared" si="1"/>
        <v>0</v>
      </c>
      <c r="G467" s="91"/>
    </row>
    <row r="468" spans="1:7" s="277" customFormat="1" ht="12.75">
      <c r="A468" s="119"/>
      <c r="B468" s="84"/>
      <c r="C468" s="2"/>
      <c r="D468" s="332"/>
      <c r="E468" s="425"/>
      <c r="F468" s="466">
        <f t="shared" si="1"/>
        <v>0</v>
      </c>
      <c r="G468" s="91"/>
    </row>
    <row r="469" spans="1:7" s="277" customFormat="1" ht="12.75">
      <c r="A469" s="131"/>
      <c r="B469" s="84" t="s">
        <v>2629</v>
      </c>
      <c r="C469" s="2"/>
      <c r="D469" s="332"/>
      <c r="E469" s="425"/>
      <c r="F469" s="466">
        <f t="shared" si="1"/>
        <v>0</v>
      </c>
      <c r="G469" s="91"/>
    </row>
    <row r="470" spans="1:7" s="277" customFormat="1" ht="12.75">
      <c r="A470" s="127"/>
      <c r="B470" s="84" t="s">
        <v>2543</v>
      </c>
      <c r="C470" s="2"/>
      <c r="D470" s="332"/>
      <c r="E470" s="425"/>
      <c r="F470" s="466">
        <f t="shared" si="1"/>
        <v>0</v>
      </c>
      <c r="G470" s="91"/>
    </row>
    <row r="471" spans="1:7" s="277" customFormat="1" ht="12.75">
      <c r="A471" s="119"/>
      <c r="B471" s="84" t="s">
        <v>2548</v>
      </c>
      <c r="C471" s="2"/>
      <c r="D471" s="332"/>
      <c r="E471" s="425"/>
      <c r="F471" s="466">
        <f t="shared" si="1"/>
        <v>0</v>
      </c>
      <c r="G471" s="91"/>
    </row>
    <row r="472" spans="1:7" s="277" customFormat="1" ht="12.75">
      <c r="A472" s="119"/>
      <c r="B472" s="84"/>
      <c r="C472" s="2"/>
      <c r="D472" s="332"/>
      <c r="E472" s="425"/>
      <c r="F472" s="466">
        <f t="shared" si="1"/>
        <v>0</v>
      </c>
      <c r="G472" s="91"/>
    </row>
    <row r="473" spans="1:7" s="277" customFormat="1" ht="12.75">
      <c r="A473" s="131"/>
      <c r="B473" s="84" t="s">
        <v>2630</v>
      </c>
      <c r="C473" s="2"/>
      <c r="D473" s="332"/>
      <c r="E473" s="425"/>
      <c r="F473" s="466">
        <f t="shared" si="1"/>
        <v>0</v>
      </c>
      <c r="G473" s="91"/>
    </row>
    <row r="474" spans="1:7" s="277" customFormat="1" ht="12.75">
      <c r="A474" s="127"/>
      <c r="B474" s="84" t="s">
        <v>2537</v>
      </c>
      <c r="C474" s="2" t="s">
        <v>1561</v>
      </c>
      <c r="D474" s="332">
        <v>1</v>
      </c>
      <c r="E474" s="465">
        <f>'Cost break dow.'!V736</f>
        <v>1198.834038745525</v>
      </c>
      <c r="F474" s="466">
        <f t="shared" si="1"/>
        <v>1198.834038745525</v>
      </c>
      <c r="G474" s="91"/>
    </row>
    <row r="475" spans="1:7" s="277" customFormat="1" ht="12.75">
      <c r="A475" s="119"/>
      <c r="B475" s="84"/>
      <c r="C475" s="2"/>
      <c r="D475" s="332"/>
      <c r="E475" s="425"/>
      <c r="F475" s="466">
        <f t="shared" si="1"/>
        <v>0</v>
      </c>
      <c r="G475" s="91"/>
    </row>
    <row r="476" spans="1:7" s="277" customFormat="1" ht="12.75">
      <c r="A476" s="119" t="s">
        <v>474</v>
      </c>
      <c r="B476" s="84" t="s">
        <v>1728</v>
      </c>
      <c r="C476" s="2"/>
      <c r="D476" s="332"/>
      <c r="E476" s="425"/>
      <c r="F476" s="466">
        <f t="shared" si="1"/>
        <v>0</v>
      </c>
      <c r="G476" s="91"/>
    </row>
    <row r="477" spans="1:7" s="277" customFormat="1" ht="12.75">
      <c r="A477" s="119"/>
      <c r="B477" s="71"/>
      <c r="C477" s="2"/>
      <c r="D477" s="332"/>
      <c r="E477" s="425"/>
      <c r="F477" s="466">
        <f t="shared" si="1"/>
        <v>0</v>
      </c>
      <c r="G477" s="91"/>
    </row>
    <row r="478" spans="1:7" s="277" customFormat="1" ht="12.75">
      <c r="A478" s="119"/>
      <c r="B478" s="132" t="s">
        <v>2629</v>
      </c>
      <c r="C478" s="2"/>
      <c r="D478" s="332"/>
      <c r="E478" s="425"/>
      <c r="F478" s="466">
        <f t="shared" si="1"/>
        <v>0</v>
      </c>
      <c r="G478" s="91"/>
    </row>
    <row r="479" spans="1:7" s="277" customFormat="1" ht="12.75">
      <c r="A479" s="119"/>
      <c r="B479" s="84" t="s">
        <v>2543</v>
      </c>
      <c r="C479" s="2"/>
      <c r="D479" s="332"/>
      <c r="E479" s="425"/>
      <c r="F479" s="466">
        <f t="shared" si="1"/>
        <v>0</v>
      </c>
      <c r="G479" s="91"/>
    </row>
    <row r="480" spans="1:7" s="277" customFormat="1" ht="12.75">
      <c r="A480" s="119"/>
      <c r="B480" s="84" t="s">
        <v>2548</v>
      </c>
      <c r="C480" s="2"/>
      <c r="D480" s="332"/>
      <c r="E480" s="425"/>
      <c r="F480" s="466">
        <f t="shared" si="1"/>
        <v>0</v>
      </c>
      <c r="G480" s="91"/>
    </row>
    <row r="481" spans="1:7" s="277" customFormat="1" ht="12.75">
      <c r="A481" s="119"/>
      <c r="B481" s="84"/>
      <c r="C481" s="2"/>
      <c r="D481" s="332"/>
      <c r="E481" s="425"/>
      <c r="F481" s="466">
        <f t="shared" si="1"/>
        <v>0</v>
      </c>
      <c r="G481" s="91"/>
    </row>
    <row r="482" spans="1:7" s="277" customFormat="1" ht="12.75">
      <c r="A482" s="131"/>
      <c r="B482" s="84" t="s">
        <v>2630</v>
      </c>
      <c r="C482" s="2"/>
      <c r="D482" s="332"/>
      <c r="E482" s="425"/>
      <c r="F482" s="466">
        <f t="shared" si="1"/>
        <v>0</v>
      </c>
      <c r="G482" s="91"/>
    </row>
    <row r="483" spans="1:7" s="277" customFormat="1" ht="12.75">
      <c r="A483" s="127"/>
      <c r="B483" s="84" t="s">
        <v>2537</v>
      </c>
      <c r="C483" s="2" t="s">
        <v>1561</v>
      </c>
      <c r="D483" s="332">
        <v>1</v>
      </c>
      <c r="E483" s="465">
        <f>'Cost break dow.'!V736</f>
        <v>1198.834038745525</v>
      </c>
      <c r="F483" s="466">
        <f t="shared" si="1"/>
        <v>1198.834038745525</v>
      </c>
      <c r="G483" s="91"/>
    </row>
    <row r="484" spans="1:7" s="277" customFormat="1" ht="12.75">
      <c r="A484" s="119"/>
      <c r="B484" s="84"/>
      <c r="C484" s="2"/>
      <c r="D484" s="332"/>
      <c r="E484" s="425"/>
      <c r="F484" s="466">
        <f t="shared" si="1"/>
        <v>0</v>
      </c>
      <c r="G484" s="91"/>
    </row>
    <row r="485" spans="1:7" s="277" customFormat="1" ht="12.75">
      <c r="A485" s="127" t="s">
        <v>475</v>
      </c>
      <c r="B485" s="84" t="s">
        <v>1729</v>
      </c>
      <c r="C485" s="2"/>
      <c r="D485" s="332"/>
      <c r="E485" s="425"/>
      <c r="F485" s="466">
        <f t="shared" si="1"/>
        <v>0</v>
      </c>
      <c r="G485" s="91"/>
    </row>
    <row r="486" spans="1:7" s="277" customFormat="1" ht="12.75">
      <c r="A486" s="119"/>
      <c r="B486" s="84"/>
      <c r="C486" s="2"/>
      <c r="D486" s="332"/>
      <c r="E486" s="425"/>
      <c r="F486" s="466">
        <f t="shared" si="1"/>
        <v>0</v>
      </c>
      <c r="G486" s="91"/>
    </row>
    <row r="487" spans="1:7" s="277" customFormat="1" ht="12.75">
      <c r="A487" s="119"/>
      <c r="B487" s="84" t="s">
        <v>2629</v>
      </c>
      <c r="C487" s="2"/>
      <c r="D487" s="332"/>
      <c r="E487" s="425"/>
      <c r="F487" s="466">
        <f t="shared" si="1"/>
        <v>0</v>
      </c>
      <c r="G487" s="91"/>
    </row>
    <row r="488" spans="1:7" s="277" customFormat="1" ht="12.75">
      <c r="A488" s="131"/>
      <c r="B488" s="84" t="s">
        <v>2543</v>
      </c>
      <c r="C488" s="2"/>
      <c r="D488" s="332"/>
      <c r="E488" s="425"/>
      <c r="F488" s="466">
        <f t="shared" si="1"/>
        <v>0</v>
      </c>
      <c r="G488" s="91"/>
    </row>
    <row r="489" spans="1:7" s="277" customFormat="1" ht="12.75">
      <c r="A489" s="127"/>
      <c r="B489" s="84" t="s">
        <v>2548</v>
      </c>
      <c r="C489" s="2"/>
      <c r="D489" s="332"/>
      <c r="E489" s="425"/>
      <c r="F489" s="466">
        <f t="shared" si="1"/>
        <v>0</v>
      </c>
      <c r="G489" s="91"/>
    </row>
    <row r="490" spans="1:7" s="277" customFormat="1" ht="12.75">
      <c r="A490" s="119"/>
      <c r="B490" s="84"/>
      <c r="C490" s="2"/>
      <c r="D490" s="332"/>
      <c r="E490" s="425"/>
      <c r="F490" s="466">
        <f t="shared" si="1"/>
        <v>0</v>
      </c>
      <c r="G490" s="91"/>
    </row>
    <row r="491" spans="1:7" s="277" customFormat="1" ht="12.75">
      <c r="A491" s="119"/>
      <c r="B491" s="84" t="s">
        <v>2630</v>
      </c>
      <c r="C491" s="2"/>
      <c r="D491" s="332"/>
      <c r="E491" s="425"/>
      <c r="F491" s="466">
        <f t="shared" si="1"/>
        <v>0</v>
      </c>
      <c r="G491" s="91"/>
    </row>
    <row r="492" spans="1:7" s="277" customFormat="1" ht="12.75">
      <c r="A492" s="119"/>
      <c r="B492" s="71" t="s">
        <v>2537</v>
      </c>
      <c r="C492" s="2" t="s">
        <v>1561</v>
      </c>
      <c r="D492" s="332">
        <v>1</v>
      </c>
      <c r="E492" s="465">
        <f>'Cost break dow.'!V736</f>
        <v>1198.834038745525</v>
      </c>
      <c r="F492" s="466">
        <f t="shared" si="1"/>
        <v>1198.834038745525</v>
      </c>
      <c r="G492" s="91"/>
    </row>
    <row r="493" spans="1:7" s="277" customFormat="1" ht="12.75">
      <c r="A493" s="119"/>
      <c r="B493" s="132"/>
      <c r="C493" s="2"/>
      <c r="D493" s="332"/>
      <c r="E493" s="425"/>
      <c r="F493" s="466">
        <f t="shared" si="1"/>
        <v>0</v>
      </c>
      <c r="G493" s="91"/>
    </row>
    <row r="494" spans="1:7" s="277" customFormat="1" ht="12.75">
      <c r="A494" s="119" t="s">
        <v>476</v>
      </c>
      <c r="B494" s="84" t="s">
        <v>1730</v>
      </c>
      <c r="C494" s="2"/>
      <c r="D494" s="332"/>
      <c r="E494" s="425"/>
      <c r="F494" s="466">
        <f t="shared" si="1"/>
        <v>0</v>
      </c>
      <c r="G494" s="91"/>
    </row>
    <row r="495" spans="1:7" s="277" customFormat="1" ht="12.75">
      <c r="A495" s="119"/>
      <c r="B495" s="84"/>
      <c r="C495" s="2"/>
      <c r="D495" s="332"/>
      <c r="E495" s="425"/>
      <c r="F495" s="466">
        <f t="shared" si="1"/>
        <v>0</v>
      </c>
      <c r="G495" s="91"/>
    </row>
    <row r="496" spans="1:7" s="277" customFormat="1" ht="12.75">
      <c r="A496" s="119"/>
      <c r="B496" s="84" t="s">
        <v>2629</v>
      </c>
      <c r="C496" s="2"/>
      <c r="D496" s="332"/>
      <c r="E496" s="425"/>
      <c r="F496" s="466">
        <f t="shared" si="1"/>
        <v>0</v>
      </c>
      <c r="G496" s="91"/>
    </row>
    <row r="497" spans="1:7" s="277" customFormat="1" ht="12.75">
      <c r="A497" s="131"/>
      <c r="B497" s="84" t="s">
        <v>2633</v>
      </c>
      <c r="C497" s="2"/>
      <c r="D497" s="332"/>
      <c r="E497" s="425"/>
      <c r="F497" s="466">
        <f t="shared" si="1"/>
        <v>0</v>
      </c>
      <c r="G497" s="91"/>
    </row>
    <row r="498" spans="1:7" s="277" customFormat="1" ht="12.75">
      <c r="A498" s="127"/>
      <c r="B498" s="84" t="s">
        <v>2548</v>
      </c>
      <c r="C498" s="2"/>
      <c r="D498" s="332"/>
      <c r="E498" s="425"/>
      <c r="F498" s="466">
        <f t="shared" si="1"/>
        <v>0</v>
      </c>
      <c r="G498" s="91"/>
    </row>
    <row r="499" spans="1:7" s="277" customFormat="1" ht="12.75">
      <c r="A499" s="119"/>
      <c r="B499" s="84"/>
      <c r="C499" s="2"/>
      <c r="D499" s="332"/>
      <c r="E499" s="425"/>
      <c r="F499" s="466">
        <f t="shared" si="1"/>
        <v>0</v>
      </c>
      <c r="G499" s="91"/>
    </row>
    <row r="500" spans="1:7" s="277" customFormat="1" ht="12.75">
      <c r="A500" s="119"/>
      <c r="B500" s="84" t="s">
        <v>2630</v>
      </c>
      <c r="C500" s="2"/>
      <c r="D500" s="332"/>
      <c r="E500" s="425"/>
      <c r="F500" s="466">
        <f t="shared" si="1"/>
        <v>0</v>
      </c>
      <c r="G500" s="91"/>
    </row>
    <row r="501" spans="1:7" s="277" customFormat="1" ht="12.75">
      <c r="A501" s="131"/>
      <c r="B501" s="84" t="s">
        <v>2537</v>
      </c>
      <c r="C501" s="2" t="s">
        <v>1561</v>
      </c>
      <c r="D501" s="332">
        <v>1</v>
      </c>
      <c r="E501" s="465">
        <f>'Cost break dow.'!V736</f>
        <v>1198.834038745525</v>
      </c>
      <c r="F501" s="466">
        <f t="shared" si="1"/>
        <v>1198.834038745525</v>
      </c>
      <c r="G501" s="91"/>
    </row>
    <row r="502" spans="1:7" s="277" customFormat="1" ht="12.75">
      <c r="A502" s="127"/>
      <c r="B502" s="84"/>
      <c r="C502" s="2"/>
      <c r="D502" s="332"/>
      <c r="E502" s="425"/>
      <c r="F502" s="466">
        <f t="shared" si="1"/>
        <v>0</v>
      </c>
      <c r="G502" s="91"/>
    </row>
    <row r="503" spans="1:7" s="277" customFormat="1" ht="12.75">
      <c r="A503" s="119" t="s">
        <v>477</v>
      </c>
      <c r="B503" s="84" t="s">
        <v>1731</v>
      </c>
      <c r="C503" s="2"/>
      <c r="D503" s="332"/>
      <c r="E503" s="425"/>
      <c r="F503" s="466">
        <f aca="true" t="shared" si="2" ref="F503:F566">D503*E503</f>
        <v>0</v>
      </c>
      <c r="G503" s="91"/>
    </row>
    <row r="504" spans="1:7" s="277" customFormat="1" ht="12.75">
      <c r="A504" s="119"/>
      <c r="B504" s="84"/>
      <c r="C504" s="2"/>
      <c r="D504" s="332"/>
      <c r="E504" s="425"/>
      <c r="F504" s="466">
        <f t="shared" si="2"/>
        <v>0</v>
      </c>
      <c r="G504" s="91"/>
    </row>
    <row r="505" spans="1:7" s="277" customFormat="1" ht="12.75">
      <c r="A505" s="119"/>
      <c r="B505" s="71" t="s">
        <v>2629</v>
      </c>
      <c r="C505" s="2"/>
      <c r="D505" s="332"/>
      <c r="E505" s="425"/>
      <c r="F505" s="466">
        <f t="shared" si="2"/>
        <v>0</v>
      </c>
      <c r="G505" s="91"/>
    </row>
    <row r="506" spans="1:7" s="277" customFormat="1" ht="12.75">
      <c r="A506" s="119"/>
      <c r="B506" s="132" t="s">
        <v>2543</v>
      </c>
      <c r="C506" s="2"/>
      <c r="D506" s="332"/>
      <c r="E506" s="425"/>
      <c r="F506" s="466">
        <f t="shared" si="2"/>
        <v>0</v>
      </c>
      <c r="G506" s="91"/>
    </row>
    <row r="507" spans="1:7" s="277" customFormat="1" ht="12.75">
      <c r="A507" s="119"/>
      <c r="B507" s="84" t="s">
        <v>2548</v>
      </c>
      <c r="C507" s="2"/>
      <c r="D507" s="332"/>
      <c r="E507" s="425"/>
      <c r="F507" s="466">
        <f t="shared" si="2"/>
        <v>0</v>
      </c>
      <c r="G507" s="91"/>
    </row>
    <row r="508" spans="1:7" s="277" customFormat="1" ht="12.75">
      <c r="A508" s="119"/>
      <c r="B508" s="84"/>
      <c r="C508" s="2"/>
      <c r="D508" s="332"/>
      <c r="E508" s="425"/>
      <c r="F508" s="466">
        <f t="shared" si="2"/>
        <v>0</v>
      </c>
      <c r="G508" s="91"/>
    </row>
    <row r="509" spans="1:7" s="277" customFormat="1" ht="12.75">
      <c r="A509" s="119"/>
      <c r="B509" s="84" t="s">
        <v>2630</v>
      </c>
      <c r="C509" s="2"/>
      <c r="D509" s="332"/>
      <c r="E509" s="425"/>
      <c r="F509" s="466">
        <f t="shared" si="2"/>
        <v>0</v>
      </c>
      <c r="G509" s="91"/>
    </row>
    <row r="510" spans="1:7" s="277" customFormat="1" ht="12.75">
      <c r="A510" s="131"/>
      <c r="B510" s="84" t="s">
        <v>2537</v>
      </c>
      <c r="C510" s="2" t="s">
        <v>1561</v>
      </c>
      <c r="D510" s="332">
        <v>1</v>
      </c>
      <c r="E510" s="465">
        <f>'Cost break dow.'!V736</f>
        <v>1198.834038745525</v>
      </c>
      <c r="F510" s="466">
        <f t="shared" si="2"/>
        <v>1198.834038745525</v>
      </c>
      <c r="G510" s="91"/>
    </row>
    <row r="511" spans="1:7" s="277" customFormat="1" ht="12.75">
      <c r="A511" s="127"/>
      <c r="B511" s="84"/>
      <c r="C511" s="2"/>
      <c r="D511" s="332"/>
      <c r="E511" s="425"/>
      <c r="F511" s="466">
        <f t="shared" si="2"/>
        <v>0</v>
      </c>
      <c r="G511" s="91"/>
    </row>
    <row r="512" spans="1:7" s="277" customFormat="1" ht="12.75">
      <c r="A512" s="119" t="s">
        <v>478</v>
      </c>
      <c r="B512" s="84" t="s">
        <v>1732</v>
      </c>
      <c r="C512" s="2"/>
      <c r="D512" s="332"/>
      <c r="E512" s="425"/>
      <c r="F512" s="466">
        <f t="shared" si="2"/>
        <v>0</v>
      </c>
      <c r="G512" s="91"/>
    </row>
    <row r="513" spans="1:7" s="277" customFormat="1" ht="12.75">
      <c r="A513" s="119"/>
      <c r="B513" s="84"/>
      <c r="C513" s="2"/>
      <c r="D513" s="332"/>
      <c r="E513" s="425"/>
      <c r="F513" s="466">
        <f t="shared" si="2"/>
        <v>0</v>
      </c>
      <c r="G513" s="91"/>
    </row>
    <row r="514" spans="1:7" s="277" customFormat="1" ht="12.75">
      <c r="A514" s="131"/>
      <c r="B514" s="84" t="s">
        <v>2629</v>
      </c>
      <c r="C514" s="2"/>
      <c r="D514" s="332"/>
      <c r="E514" s="425"/>
      <c r="F514" s="466">
        <f t="shared" si="2"/>
        <v>0</v>
      </c>
      <c r="G514" s="91"/>
    </row>
    <row r="515" spans="1:7" s="277" customFormat="1" ht="12.75">
      <c r="A515" s="127"/>
      <c r="B515" s="84" t="s">
        <v>2543</v>
      </c>
      <c r="C515" s="2"/>
      <c r="D515" s="332"/>
      <c r="E515" s="425"/>
      <c r="F515" s="466">
        <f t="shared" si="2"/>
        <v>0</v>
      </c>
      <c r="G515" s="91"/>
    </row>
    <row r="516" spans="1:7" s="277" customFormat="1" ht="12.75">
      <c r="A516" s="119"/>
      <c r="B516" s="84" t="s">
        <v>2548</v>
      </c>
      <c r="C516" s="2"/>
      <c r="D516" s="332"/>
      <c r="E516" s="425"/>
      <c r="F516" s="466">
        <f t="shared" si="2"/>
        <v>0</v>
      </c>
      <c r="G516" s="91"/>
    </row>
    <row r="517" spans="1:7" s="277" customFormat="1" ht="12.75">
      <c r="A517" s="119"/>
      <c r="B517" s="84"/>
      <c r="C517" s="2"/>
      <c r="D517" s="332"/>
      <c r="E517" s="425"/>
      <c r="F517" s="466">
        <f t="shared" si="2"/>
        <v>0</v>
      </c>
      <c r="G517" s="91"/>
    </row>
    <row r="518" spans="1:7" s="277" customFormat="1" ht="12.75">
      <c r="A518" s="119"/>
      <c r="B518" s="71" t="s">
        <v>2630</v>
      </c>
      <c r="C518" s="2"/>
      <c r="D518" s="332"/>
      <c r="E518" s="425"/>
      <c r="F518" s="466">
        <f t="shared" si="2"/>
        <v>0</v>
      </c>
      <c r="G518" s="91"/>
    </row>
    <row r="519" spans="1:7" s="277" customFormat="1" ht="12.75">
      <c r="A519" s="119"/>
      <c r="B519" s="132" t="s">
        <v>2537</v>
      </c>
      <c r="C519" s="2" t="s">
        <v>1561</v>
      </c>
      <c r="D519" s="332">
        <v>1</v>
      </c>
      <c r="E519" s="465">
        <f>'Cost break dow.'!V736</f>
        <v>1198.834038745525</v>
      </c>
      <c r="F519" s="466">
        <f t="shared" si="2"/>
        <v>1198.834038745525</v>
      </c>
      <c r="G519" s="91"/>
    </row>
    <row r="520" spans="1:7" s="277" customFormat="1" ht="12.75">
      <c r="A520" s="119"/>
      <c r="B520" s="84"/>
      <c r="C520" s="2"/>
      <c r="D520" s="332"/>
      <c r="E520" s="425"/>
      <c r="F520" s="466">
        <f t="shared" si="2"/>
        <v>0</v>
      </c>
      <c r="G520" s="91"/>
    </row>
    <row r="521" spans="1:7" s="277" customFormat="1" ht="12.75">
      <c r="A521" s="119" t="s">
        <v>479</v>
      </c>
      <c r="B521" s="132" t="s">
        <v>1733</v>
      </c>
      <c r="C521" s="2"/>
      <c r="D521" s="332"/>
      <c r="E521" s="425"/>
      <c r="F521" s="466">
        <f t="shared" si="2"/>
        <v>0</v>
      </c>
      <c r="G521" s="91"/>
    </row>
    <row r="522" spans="1:7" s="277" customFormat="1" ht="12.75">
      <c r="A522" s="119"/>
      <c r="B522" s="84"/>
      <c r="C522" s="2"/>
      <c r="D522" s="332"/>
      <c r="E522" s="425"/>
      <c r="F522" s="466">
        <f t="shared" si="2"/>
        <v>0</v>
      </c>
      <c r="G522" s="91"/>
    </row>
    <row r="523" spans="1:7" s="277" customFormat="1" ht="12.75">
      <c r="A523" s="119"/>
      <c r="B523" s="84" t="s">
        <v>2629</v>
      </c>
      <c r="C523" s="2"/>
      <c r="D523" s="332"/>
      <c r="E523" s="425"/>
      <c r="F523" s="466">
        <f t="shared" si="2"/>
        <v>0</v>
      </c>
      <c r="G523" s="91"/>
    </row>
    <row r="524" spans="1:7" s="277" customFormat="1" ht="12.75">
      <c r="A524" s="119"/>
      <c r="B524" s="84" t="s">
        <v>2633</v>
      </c>
      <c r="C524" s="2"/>
      <c r="D524" s="332"/>
      <c r="E524" s="425"/>
      <c r="F524" s="466">
        <f t="shared" si="2"/>
        <v>0</v>
      </c>
      <c r="G524" s="91"/>
    </row>
    <row r="525" spans="1:7" s="277" customFormat="1" ht="12.75">
      <c r="A525" s="131"/>
      <c r="B525" s="84" t="s">
        <v>2548</v>
      </c>
      <c r="C525" s="2"/>
      <c r="D525" s="332"/>
      <c r="E525" s="425"/>
      <c r="F525" s="466">
        <f t="shared" si="2"/>
        <v>0</v>
      </c>
      <c r="G525" s="91"/>
    </row>
    <row r="526" spans="1:7" s="277" customFormat="1" ht="12.75">
      <c r="A526" s="127"/>
      <c r="B526" s="84"/>
      <c r="C526" s="2"/>
      <c r="D526" s="332"/>
      <c r="E526" s="425"/>
      <c r="F526" s="466">
        <f t="shared" si="2"/>
        <v>0</v>
      </c>
      <c r="G526" s="91"/>
    </row>
    <row r="527" spans="1:7" s="277" customFormat="1" ht="12.75">
      <c r="A527" s="119"/>
      <c r="B527" s="84" t="s">
        <v>2630</v>
      </c>
      <c r="C527" s="2"/>
      <c r="D527" s="332"/>
      <c r="E527" s="425"/>
      <c r="F527" s="466">
        <f t="shared" si="2"/>
        <v>0</v>
      </c>
      <c r="G527" s="91"/>
    </row>
    <row r="528" spans="1:7" s="277" customFormat="1" ht="12.75">
      <c r="A528" s="119"/>
      <c r="B528" s="84" t="s">
        <v>2537</v>
      </c>
      <c r="C528" s="2" t="s">
        <v>1561</v>
      </c>
      <c r="D528" s="332">
        <v>1</v>
      </c>
      <c r="E528" s="465">
        <f>'Cost break dow.'!V736</f>
        <v>1198.834038745525</v>
      </c>
      <c r="F528" s="466">
        <f t="shared" si="2"/>
        <v>1198.834038745525</v>
      </c>
      <c r="G528" s="91"/>
    </row>
    <row r="529" spans="1:7" s="277" customFormat="1" ht="12.75">
      <c r="A529" s="131"/>
      <c r="B529" s="84"/>
      <c r="C529" s="2"/>
      <c r="D529" s="332"/>
      <c r="E529" s="425"/>
      <c r="F529" s="466">
        <f t="shared" si="2"/>
        <v>0</v>
      </c>
      <c r="G529" s="91"/>
    </row>
    <row r="530" spans="1:7" s="277" customFormat="1" ht="12.75">
      <c r="A530" s="127" t="s">
        <v>480</v>
      </c>
      <c r="B530" s="84" t="s">
        <v>1734</v>
      </c>
      <c r="C530" s="2"/>
      <c r="D530" s="332"/>
      <c r="E530" s="425"/>
      <c r="F530" s="466">
        <f t="shared" si="2"/>
        <v>0</v>
      </c>
      <c r="G530" s="91"/>
    </row>
    <row r="531" spans="1:7" s="277" customFormat="1" ht="12.75">
      <c r="A531" s="119"/>
      <c r="B531" s="84"/>
      <c r="C531" s="2"/>
      <c r="D531" s="332"/>
      <c r="E531" s="425"/>
      <c r="F531" s="466">
        <f t="shared" si="2"/>
        <v>0</v>
      </c>
      <c r="G531" s="91"/>
    </row>
    <row r="532" spans="1:7" s="277" customFormat="1" ht="12.75">
      <c r="A532" s="119"/>
      <c r="B532" s="84" t="s">
        <v>2629</v>
      </c>
      <c r="C532" s="2"/>
      <c r="D532" s="332"/>
      <c r="E532" s="425"/>
      <c r="F532" s="466">
        <f t="shared" si="2"/>
        <v>0</v>
      </c>
      <c r="G532" s="91"/>
    </row>
    <row r="533" spans="1:7" s="277" customFormat="1" ht="12.75">
      <c r="A533" s="119"/>
      <c r="B533" s="71" t="s">
        <v>2543</v>
      </c>
      <c r="C533" s="2"/>
      <c r="D533" s="332"/>
      <c r="E533" s="425"/>
      <c r="F533" s="466">
        <f t="shared" si="2"/>
        <v>0</v>
      </c>
      <c r="G533" s="91"/>
    </row>
    <row r="534" spans="1:7" s="277" customFormat="1" ht="12.75">
      <c r="A534" s="119"/>
      <c r="B534" s="132" t="s">
        <v>2548</v>
      </c>
      <c r="C534" s="2"/>
      <c r="D534" s="332"/>
      <c r="E534" s="425"/>
      <c r="F534" s="466">
        <f t="shared" si="2"/>
        <v>0</v>
      </c>
      <c r="G534" s="91"/>
    </row>
    <row r="535" spans="1:7" s="277" customFormat="1" ht="12.75">
      <c r="A535" s="119"/>
      <c r="B535" s="84"/>
      <c r="C535" s="2"/>
      <c r="D535" s="332"/>
      <c r="E535" s="425"/>
      <c r="F535" s="466">
        <f t="shared" si="2"/>
        <v>0</v>
      </c>
      <c r="G535" s="91"/>
    </row>
    <row r="536" spans="1:7" s="277" customFormat="1" ht="12.75">
      <c r="A536" s="119"/>
      <c r="B536" s="84" t="s">
        <v>2630</v>
      </c>
      <c r="C536" s="2"/>
      <c r="D536" s="332"/>
      <c r="E536" s="425"/>
      <c r="F536" s="466">
        <f t="shared" si="2"/>
        <v>0</v>
      </c>
      <c r="G536" s="91"/>
    </row>
    <row r="537" spans="1:7" s="277" customFormat="1" ht="12.75">
      <c r="A537" s="119"/>
      <c r="B537" s="84" t="s">
        <v>2537</v>
      </c>
      <c r="C537" s="2" t="s">
        <v>1561</v>
      </c>
      <c r="D537" s="332">
        <v>1</v>
      </c>
      <c r="E537" s="465">
        <f>'Cost break dow.'!V736</f>
        <v>1198.834038745525</v>
      </c>
      <c r="F537" s="466">
        <f t="shared" si="2"/>
        <v>1198.834038745525</v>
      </c>
      <c r="G537" s="91"/>
    </row>
    <row r="538" spans="1:7" s="277" customFormat="1" ht="12.75">
      <c r="A538" s="131"/>
      <c r="B538" s="84"/>
      <c r="C538" s="2"/>
      <c r="D538" s="332"/>
      <c r="E538" s="425"/>
      <c r="F538" s="466">
        <f t="shared" si="2"/>
        <v>0</v>
      </c>
      <c r="G538" s="91"/>
    </row>
    <row r="539" spans="1:7" s="277" customFormat="1" ht="12.75">
      <c r="A539" s="213" t="s">
        <v>481</v>
      </c>
      <c r="B539" s="84" t="s">
        <v>3019</v>
      </c>
      <c r="C539" s="2"/>
      <c r="D539" s="332"/>
      <c r="E539" s="425"/>
      <c r="F539" s="466">
        <f t="shared" si="2"/>
        <v>0</v>
      </c>
      <c r="G539" s="91"/>
    </row>
    <row r="540" spans="1:7" s="277" customFormat="1" ht="12.75">
      <c r="A540" s="119"/>
      <c r="B540" s="84"/>
      <c r="C540" s="2"/>
      <c r="D540" s="332"/>
      <c r="E540" s="425"/>
      <c r="F540" s="466">
        <f t="shared" si="2"/>
        <v>0</v>
      </c>
      <c r="G540" s="91"/>
    </row>
    <row r="541" spans="1:7" s="277" customFormat="1" ht="12.75">
      <c r="A541" s="119"/>
      <c r="B541" s="84" t="s">
        <v>2629</v>
      </c>
      <c r="C541" s="2"/>
      <c r="D541" s="332"/>
      <c r="E541" s="425"/>
      <c r="F541" s="466">
        <f t="shared" si="2"/>
        <v>0</v>
      </c>
      <c r="G541" s="91"/>
    </row>
    <row r="542" spans="1:7" s="277" customFormat="1" ht="12.75">
      <c r="A542" s="131"/>
      <c r="B542" s="84" t="s">
        <v>2543</v>
      </c>
      <c r="C542" s="2"/>
      <c r="D542" s="332"/>
      <c r="E542" s="425"/>
      <c r="F542" s="466">
        <f t="shared" si="2"/>
        <v>0</v>
      </c>
      <c r="G542" s="91"/>
    </row>
    <row r="543" spans="1:7" s="277" customFormat="1" ht="12.75">
      <c r="A543" s="127"/>
      <c r="B543" s="84" t="s">
        <v>2548</v>
      </c>
      <c r="C543" s="2"/>
      <c r="D543" s="332"/>
      <c r="E543" s="425"/>
      <c r="F543" s="466">
        <f t="shared" si="2"/>
        <v>0</v>
      </c>
      <c r="G543" s="91"/>
    </row>
    <row r="544" spans="1:7" s="277" customFormat="1" ht="12.75">
      <c r="A544" s="119"/>
      <c r="B544" s="84"/>
      <c r="C544" s="2"/>
      <c r="D544" s="332"/>
      <c r="E544" s="425"/>
      <c r="F544" s="466">
        <f t="shared" si="2"/>
        <v>0</v>
      </c>
      <c r="G544" s="91"/>
    </row>
    <row r="545" spans="1:7" s="277" customFormat="1" ht="12.75">
      <c r="A545" s="119"/>
      <c r="B545" s="84" t="s">
        <v>2630</v>
      </c>
      <c r="C545" s="2"/>
      <c r="D545" s="332"/>
      <c r="E545" s="425"/>
      <c r="F545" s="466">
        <f t="shared" si="2"/>
        <v>0</v>
      </c>
      <c r="G545" s="91"/>
    </row>
    <row r="546" spans="1:7" s="277" customFormat="1" ht="12.75">
      <c r="A546" s="119"/>
      <c r="B546" s="71" t="s">
        <v>2537</v>
      </c>
      <c r="C546" s="2" t="s">
        <v>1561</v>
      </c>
      <c r="D546" s="332">
        <v>1</v>
      </c>
      <c r="E546" s="465">
        <f>'Cost break dow.'!V736</f>
        <v>1198.834038745525</v>
      </c>
      <c r="F546" s="466">
        <f t="shared" si="2"/>
        <v>1198.834038745525</v>
      </c>
      <c r="G546" s="91"/>
    </row>
    <row r="547" spans="1:7" s="277" customFormat="1" ht="12.75">
      <c r="A547" s="119"/>
      <c r="B547" s="132"/>
      <c r="C547" s="2"/>
      <c r="D547" s="332"/>
      <c r="E547" s="425"/>
      <c r="F547" s="466">
        <f t="shared" si="2"/>
        <v>0</v>
      </c>
      <c r="G547" s="91"/>
    </row>
    <row r="548" spans="1:7" s="277" customFormat="1" ht="12.75">
      <c r="A548" s="119" t="s">
        <v>482</v>
      </c>
      <c r="B548" s="84" t="s">
        <v>3020</v>
      </c>
      <c r="C548" s="2"/>
      <c r="D548" s="332"/>
      <c r="E548" s="425"/>
      <c r="F548" s="466">
        <f t="shared" si="2"/>
        <v>0</v>
      </c>
      <c r="G548" s="91"/>
    </row>
    <row r="549" spans="1:7" s="277" customFormat="1" ht="12.75">
      <c r="A549" s="119"/>
      <c r="B549" s="84"/>
      <c r="C549" s="2"/>
      <c r="D549" s="332"/>
      <c r="E549" s="425"/>
      <c r="F549" s="466">
        <f t="shared" si="2"/>
        <v>0</v>
      </c>
      <c r="G549" s="91"/>
    </row>
    <row r="550" spans="1:7" s="277" customFormat="1" ht="12.75">
      <c r="A550" s="119"/>
      <c r="B550" s="84" t="s">
        <v>2629</v>
      </c>
      <c r="C550" s="2"/>
      <c r="D550" s="332"/>
      <c r="E550" s="425"/>
      <c r="F550" s="466">
        <f t="shared" si="2"/>
        <v>0</v>
      </c>
      <c r="G550" s="91"/>
    </row>
    <row r="551" spans="1:7" s="277" customFormat="1" ht="12.75">
      <c r="A551" s="131"/>
      <c r="B551" s="84" t="s">
        <v>2543</v>
      </c>
      <c r="C551" s="2"/>
      <c r="D551" s="332"/>
      <c r="E551" s="425"/>
      <c r="F551" s="466">
        <f t="shared" si="2"/>
        <v>0</v>
      </c>
      <c r="G551" s="91"/>
    </row>
    <row r="552" spans="1:7" s="277" customFormat="1" ht="12.75">
      <c r="A552" s="127"/>
      <c r="B552" s="84" t="s">
        <v>2548</v>
      </c>
      <c r="C552" s="2"/>
      <c r="D552" s="332"/>
      <c r="E552" s="425"/>
      <c r="F552" s="466">
        <f t="shared" si="2"/>
        <v>0</v>
      </c>
      <c r="G552" s="91"/>
    </row>
    <row r="553" spans="1:7" s="277" customFormat="1" ht="12.75">
      <c r="A553" s="119"/>
      <c r="B553" s="84"/>
      <c r="C553" s="2"/>
      <c r="D553" s="332"/>
      <c r="E553" s="425"/>
      <c r="F553" s="466">
        <f t="shared" si="2"/>
        <v>0</v>
      </c>
      <c r="G553" s="91"/>
    </row>
    <row r="554" spans="1:7" s="277" customFormat="1" ht="12.75">
      <c r="A554" s="119"/>
      <c r="B554" s="84" t="s">
        <v>2630</v>
      </c>
      <c r="C554" s="2"/>
      <c r="D554" s="332"/>
      <c r="E554" s="425"/>
      <c r="F554" s="466">
        <f t="shared" si="2"/>
        <v>0</v>
      </c>
      <c r="G554" s="91"/>
    </row>
    <row r="555" spans="1:7" s="277" customFormat="1" ht="12.75">
      <c r="A555" s="131"/>
      <c r="B555" s="84" t="s">
        <v>2537</v>
      </c>
      <c r="C555" s="2" t="s">
        <v>1561</v>
      </c>
      <c r="D555" s="332">
        <v>1</v>
      </c>
      <c r="E555" s="465">
        <f>'Cost break dow.'!V736</f>
        <v>1198.834038745525</v>
      </c>
      <c r="F555" s="466">
        <f t="shared" si="2"/>
        <v>1198.834038745525</v>
      </c>
      <c r="G555" s="91"/>
    </row>
    <row r="556" spans="1:7" s="277" customFormat="1" ht="12.75">
      <c r="A556" s="127"/>
      <c r="B556" s="84"/>
      <c r="C556" s="2"/>
      <c r="D556" s="332"/>
      <c r="E556" s="425"/>
      <c r="F556" s="466">
        <f t="shared" si="2"/>
        <v>0</v>
      </c>
      <c r="G556" s="91"/>
    </row>
    <row r="557" spans="1:7" s="277" customFormat="1" ht="12.75">
      <c r="A557" s="119" t="s">
        <v>483</v>
      </c>
      <c r="B557" s="84" t="s">
        <v>1735</v>
      </c>
      <c r="C557" s="2"/>
      <c r="D557" s="332"/>
      <c r="E557" s="425"/>
      <c r="F557" s="466">
        <f t="shared" si="2"/>
        <v>0</v>
      </c>
      <c r="G557" s="91"/>
    </row>
    <row r="558" spans="1:7" s="277" customFormat="1" ht="12.75">
      <c r="A558" s="127"/>
      <c r="B558" s="84"/>
      <c r="C558" s="2"/>
      <c r="D558" s="332"/>
      <c r="E558" s="425"/>
      <c r="F558" s="466">
        <f t="shared" si="2"/>
        <v>0</v>
      </c>
      <c r="G558" s="91"/>
    </row>
    <row r="559" spans="1:7" s="277" customFormat="1" ht="12.75">
      <c r="A559" s="119"/>
      <c r="B559" s="84" t="s">
        <v>2629</v>
      </c>
      <c r="C559" s="2"/>
      <c r="D559" s="332"/>
      <c r="E559" s="425"/>
      <c r="F559" s="466">
        <f t="shared" si="2"/>
        <v>0</v>
      </c>
      <c r="G559" s="91"/>
    </row>
    <row r="560" spans="1:7" s="277" customFormat="1" ht="12.75">
      <c r="A560" s="119"/>
      <c r="B560" s="84" t="s">
        <v>2543</v>
      </c>
      <c r="C560" s="2"/>
      <c r="D560" s="332"/>
      <c r="E560" s="425"/>
      <c r="F560" s="466">
        <f t="shared" si="2"/>
        <v>0</v>
      </c>
      <c r="G560" s="91"/>
    </row>
    <row r="561" spans="1:7" s="277" customFormat="1" ht="12.75">
      <c r="A561" s="119"/>
      <c r="B561" s="71" t="s">
        <v>2548</v>
      </c>
      <c r="C561" s="2"/>
      <c r="D561" s="332"/>
      <c r="E561" s="425"/>
      <c r="F561" s="466">
        <f t="shared" si="2"/>
        <v>0</v>
      </c>
      <c r="G561" s="91"/>
    </row>
    <row r="562" spans="1:7" s="277" customFormat="1" ht="12.75">
      <c r="A562" s="119"/>
      <c r="B562" s="132"/>
      <c r="C562" s="2"/>
      <c r="D562" s="332"/>
      <c r="E562" s="425"/>
      <c r="F562" s="466">
        <f t="shared" si="2"/>
        <v>0</v>
      </c>
      <c r="G562" s="91"/>
    </row>
    <row r="563" spans="1:7" s="277" customFormat="1" ht="12.75">
      <c r="A563" s="119"/>
      <c r="B563" s="84" t="s">
        <v>2630</v>
      </c>
      <c r="C563" s="2"/>
      <c r="D563" s="332"/>
      <c r="E563" s="425"/>
      <c r="F563" s="466">
        <f t="shared" si="2"/>
        <v>0</v>
      </c>
      <c r="G563" s="91"/>
    </row>
    <row r="564" spans="1:7" s="277" customFormat="1" ht="12.75">
      <c r="A564" s="119"/>
      <c r="B564" s="84" t="s">
        <v>2537</v>
      </c>
      <c r="C564" s="2" t="s">
        <v>1561</v>
      </c>
      <c r="D564" s="332">
        <v>1</v>
      </c>
      <c r="E564" s="465">
        <f>'Cost break dow.'!V736</f>
        <v>1198.834038745525</v>
      </c>
      <c r="F564" s="466">
        <f t="shared" si="2"/>
        <v>1198.834038745525</v>
      </c>
      <c r="G564" s="91"/>
    </row>
    <row r="565" spans="1:7" s="277" customFormat="1" ht="12.75">
      <c r="A565" s="119"/>
      <c r="B565" s="84"/>
      <c r="C565" s="2"/>
      <c r="D565" s="332"/>
      <c r="E565" s="425"/>
      <c r="F565" s="466">
        <f t="shared" si="2"/>
        <v>0</v>
      </c>
      <c r="G565" s="91"/>
    </row>
    <row r="566" spans="1:7" s="277" customFormat="1" ht="12.75">
      <c r="A566" s="119" t="s">
        <v>94</v>
      </c>
      <c r="B566" s="84" t="s">
        <v>1736</v>
      </c>
      <c r="C566" s="2"/>
      <c r="D566" s="332"/>
      <c r="E566" s="425"/>
      <c r="F566" s="466">
        <f t="shared" si="2"/>
        <v>0</v>
      </c>
      <c r="G566" s="91"/>
    </row>
    <row r="567" spans="1:7" s="277" customFormat="1" ht="12.75">
      <c r="A567" s="127"/>
      <c r="B567" s="84"/>
      <c r="C567" s="2"/>
      <c r="D567" s="332"/>
      <c r="E567" s="425"/>
      <c r="F567" s="466">
        <f aca="true" t="shared" si="3" ref="F567:F630">D567*E567</f>
        <v>0</v>
      </c>
      <c r="G567" s="91"/>
    </row>
    <row r="568" spans="1:7" s="277" customFormat="1" ht="12.75">
      <c r="A568" s="119"/>
      <c r="B568" s="84" t="s">
        <v>2629</v>
      </c>
      <c r="C568" s="2"/>
      <c r="D568" s="332"/>
      <c r="E568" s="425"/>
      <c r="F568" s="466">
        <f t="shared" si="3"/>
        <v>0</v>
      </c>
      <c r="G568" s="91"/>
    </row>
    <row r="569" spans="1:7" s="277" customFormat="1" ht="12.75">
      <c r="A569" s="119"/>
      <c r="B569" s="84" t="s">
        <v>2543</v>
      </c>
      <c r="C569" s="2"/>
      <c r="D569" s="332"/>
      <c r="E569" s="425"/>
      <c r="F569" s="466">
        <f t="shared" si="3"/>
        <v>0</v>
      </c>
      <c r="G569" s="91"/>
    </row>
    <row r="570" spans="1:7" s="277" customFormat="1" ht="12.75">
      <c r="A570" s="131"/>
      <c r="B570" s="84" t="s">
        <v>2548</v>
      </c>
      <c r="C570" s="2"/>
      <c r="D570" s="332"/>
      <c r="E570" s="425"/>
      <c r="F570" s="466">
        <f t="shared" si="3"/>
        <v>0</v>
      </c>
      <c r="G570" s="91"/>
    </row>
    <row r="571" spans="1:7" s="277" customFormat="1" ht="12.75">
      <c r="A571" s="127"/>
      <c r="B571" s="84"/>
      <c r="C571" s="2"/>
      <c r="D571" s="332"/>
      <c r="E571" s="425"/>
      <c r="F571" s="466">
        <f t="shared" si="3"/>
        <v>0</v>
      </c>
      <c r="G571" s="91"/>
    </row>
    <row r="572" spans="1:7" s="277" customFormat="1" ht="12.75">
      <c r="A572" s="119"/>
      <c r="B572" s="84" t="s">
        <v>2630</v>
      </c>
      <c r="C572" s="2"/>
      <c r="D572" s="332"/>
      <c r="E572" s="425"/>
      <c r="F572" s="466">
        <f t="shared" si="3"/>
        <v>0</v>
      </c>
      <c r="G572" s="91"/>
    </row>
    <row r="573" spans="1:7" s="277" customFormat="1" ht="12.75">
      <c r="A573" s="119"/>
      <c r="B573" s="84" t="s">
        <v>2537</v>
      </c>
      <c r="C573" s="2" t="s">
        <v>1561</v>
      </c>
      <c r="D573" s="332">
        <v>1</v>
      </c>
      <c r="E573" s="465">
        <f>'Cost break dow.'!V736</f>
        <v>1198.834038745525</v>
      </c>
      <c r="F573" s="466">
        <f t="shared" si="3"/>
        <v>1198.834038745525</v>
      </c>
      <c r="G573" s="91"/>
    </row>
    <row r="574" spans="1:7" s="277" customFormat="1" ht="12.75">
      <c r="A574" s="119"/>
      <c r="B574" s="71"/>
      <c r="C574" s="2"/>
      <c r="D574" s="332"/>
      <c r="E574" s="425"/>
      <c r="F574" s="466">
        <f t="shared" si="3"/>
        <v>0</v>
      </c>
      <c r="G574" s="91"/>
    </row>
    <row r="575" spans="1:7" s="277" customFormat="1" ht="12.75">
      <c r="A575" s="119" t="s">
        <v>95</v>
      </c>
      <c r="B575" s="132" t="s">
        <v>1737</v>
      </c>
      <c r="C575" s="2"/>
      <c r="D575" s="332"/>
      <c r="E575" s="425"/>
      <c r="F575" s="466">
        <f t="shared" si="3"/>
        <v>0</v>
      </c>
      <c r="G575" s="91"/>
    </row>
    <row r="576" spans="1:7" s="277" customFormat="1" ht="12.75">
      <c r="A576" s="119"/>
      <c r="B576" s="84"/>
      <c r="C576" s="2"/>
      <c r="D576" s="332"/>
      <c r="E576" s="425"/>
      <c r="F576" s="466">
        <f t="shared" si="3"/>
        <v>0</v>
      </c>
      <c r="G576" s="91"/>
    </row>
    <row r="577" spans="1:7" s="277" customFormat="1" ht="12.75">
      <c r="A577" s="119"/>
      <c r="B577" s="84" t="s">
        <v>2629</v>
      </c>
      <c r="C577" s="2"/>
      <c r="D577" s="332"/>
      <c r="E577" s="425"/>
      <c r="F577" s="466">
        <f t="shared" si="3"/>
        <v>0</v>
      </c>
      <c r="G577" s="91"/>
    </row>
    <row r="578" spans="1:7" s="277" customFormat="1" ht="12.75">
      <c r="A578" s="119"/>
      <c r="B578" s="84" t="s">
        <v>2633</v>
      </c>
      <c r="C578" s="2"/>
      <c r="D578" s="332"/>
      <c r="E578" s="425"/>
      <c r="F578" s="466">
        <f t="shared" si="3"/>
        <v>0</v>
      </c>
      <c r="G578" s="91"/>
    </row>
    <row r="579" spans="1:7" s="277" customFormat="1" ht="12.75">
      <c r="A579" s="131"/>
      <c r="B579" s="84" t="s">
        <v>2548</v>
      </c>
      <c r="C579" s="2"/>
      <c r="D579" s="332"/>
      <c r="E579" s="425"/>
      <c r="F579" s="466">
        <f t="shared" si="3"/>
        <v>0</v>
      </c>
      <c r="G579" s="91"/>
    </row>
    <row r="580" spans="1:7" s="277" customFormat="1" ht="12.75">
      <c r="A580" s="127"/>
      <c r="B580" s="84"/>
      <c r="C580" s="2"/>
      <c r="D580" s="332"/>
      <c r="E580" s="425"/>
      <c r="F580" s="466">
        <f t="shared" si="3"/>
        <v>0</v>
      </c>
      <c r="G580" s="91"/>
    </row>
    <row r="581" spans="1:7" s="277" customFormat="1" ht="12.75">
      <c r="A581" s="119"/>
      <c r="B581" s="84" t="s">
        <v>2630</v>
      </c>
      <c r="C581" s="2"/>
      <c r="D581" s="332"/>
      <c r="E581" s="425"/>
      <c r="F581" s="466">
        <f t="shared" si="3"/>
        <v>0</v>
      </c>
      <c r="G581" s="91"/>
    </row>
    <row r="582" spans="1:7" s="277" customFormat="1" ht="12.75">
      <c r="A582" s="119"/>
      <c r="B582" s="84" t="s">
        <v>2537</v>
      </c>
      <c r="C582" s="2" t="s">
        <v>1561</v>
      </c>
      <c r="D582" s="332">
        <v>1</v>
      </c>
      <c r="E582" s="465">
        <f>'Cost break dow.'!V744</f>
        <v>2632.124295395525</v>
      </c>
      <c r="F582" s="466">
        <f t="shared" si="3"/>
        <v>2632.124295395525</v>
      </c>
      <c r="G582" s="91"/>
    </row>
    <row r="583" spans="1:7" s="277" customFormat="1" ht="12.75">
      <c r="A583" s="131"/>
      <c r="B583" s="84"/>
      <c r="C583" s="2"/>
      <c r="D583" s="332"/>
      <c r="E583" s="425"/>
      <c r="F583" s="466">
        <f t="shared" si="3"/>
        <v>0</v>
      </c>
      <c r="G583" s="91"/>
    </row>
    <row r="584" spans="1:7" s="277" customFormat="1" ht="12.75">
      <c r="A584" s="127" t="s">
        <v>96</v>
      </c>
      <c r="B584" s="84" t="s">
        <v>2685</v>
      </c>
      <c r="C584" s="2"/>
      <c r="D584" s="332"/>
      <c r="E584" s="425"/>
      <c r="F584" s="466">
        <f t="shared" si="3"/>
        <v>0</v>
      </c>
      <c r="G584" s="91"/>
    </row>
    <row r="585" spans="1:7" s="277" customFormat="1" ht="12.75">
      <c r="A585" s="119"/>
      <c r="B585" s="84"/>
      <c r="C585" s="2"/>
      <c r="D585" s="332"/>
      <c r="E585" s="425"/>
      <c r="F585" s="466">
        <f t="shared" si="3"/>
        <v>0</v>
      </c>
      <c r="G585" s="91"/>
    </row>
    <row r="586" spans="1:7" s="277" customFormat="1" ht="12.75">
      <c r="A586" s="119"/>
      <c r="B586" s="84" t="s">
        <v>2686</v>
      </c>
      <c r="C586" s="2"/>
      <c r="D586" s="332"/>
      <c r="E586" s="425"/>
      <c r="F586" s="466">
        <f t="shared" si="3"/>
        <v>0</v>
      </c>
      <c r="G586" s="91"/>
    </row>
    <row r="587" spans="1:7" s="277" customFormat="1" ht="12.75">
      <c r="A587" s="119"/>
      <c r="B587" s="71" t="s">
        <v>2633</v>
      </c>
      <c r="C587" s="2"/>
      <c r="D587" s="332"/>
      <c r="E587" s="425"/>
      <c r="F587" s="466">
        <f t="shared" si="3"/>
        <v>0</v>
      </c>
      <c r="G587" s="91"/>
    </row>
    <row r="588" spans="1:7" s="277" customFormat="1" ht="12.75">
      <c r="A588" s="119"/>
      <c r="B588" s="132" t="s">
        <v>2548</v>
      </c>
      <c r="C588" s="2"/>
      <c r="D588" s="332"/>
      <c r="E588" s="425"/>
      <c r="F588" s="466">
        <f t="shared" si="3"/>
        <v>0</v>
      </c>
      <c r="G588" s="91"/>
    </row>
    <row r="589" spans="1:7" s="277" customFormat="1" ht="12.75">
      <c r="A589" s="119"/>
      <c r="B589" s="84"/>
      <c r="C589" s="2"/>
      <c r="D589" s="332"/>
      <c r="E589" s="425"/>
      <c r="F589" s="466">
        <f t="shared" si="3"/>
        <v>0</v>
      </c>
      <c r="G589" s="91"/>
    </row>
    <row r="590" spans="1:7" s="277" customFormat="1" ht="12.75">
      <c r="A590" s="119"/>
      <c r="B590" s="84" t="s">
        <v>2630</v>
      </c>
      <c r="C590" s="2"/>
      <c r="D590" s="332"/>
      <c r="E590" s="425"/>
      <c r="F590" s="466">
        <f t="shared" si="3"/>
        <v>0</v>
      </c>
      <c r="G590" s="91"/>
    </row>
    <row r="591" spans="1:7" s="277" customFormat="1" ht="12.75">
      <c r="A591" s="119"/>
      <c r="B591" s="84" t="s">
        <v>2537</v>
      </c>
      <c r="C591" s="2" t="s">
        <v>1561</v>
      </c>
      <c r="D591" s="332">
        <v>1</v>
      </c>
      <c r="E591" s="465">
        <f>'Cost break dow.'!V744</f>
        <v>2632.124295395525</v>
      </c>
      <c r="F591" s="466">
        <f t="shared" si="3"/>
        <v>2632.124295395525</v>
      </c>
      <c r="G591" s="91"/>
    </row>
    <row r="592" spans="1:7" s="277" customFormat="1" ht="12.75">
      <c r="A592" s="131"/>
      <c r="B592" s="84"/>
      <c r="C592" s="2"/>
      <c r="D592" s="332"/>
      <c r="E592" s="425"/>
      <c r="F592" s="466">
        <f t="shared" si="3"/>
        <v>0</v>
      </c>
      <c r="G592" s="91"/>
    </row>
    <row r="593" spans="1:7" s="277" customFormat="1" ht="12.75">
      <c r="A593" s="119" t="s">
        <v>97</v>
      </c>
      <c r="B593" s="84" t="s">
        <v>2687</v>
      </c>
      <c r="C593" s="2"/>
      <c r="D593" s="332"/>
      <c r="E593" s="425"/>
      <c r="F593" s="466">
        <f t="shared" si="3"/>
        <v>0</v>
      </c>
      <c r="G593" s="91"/>
    </row>
    <row r="594" spans="1:7" s="277" customFormat="1" ht="12.75">
      <c r="A594" s="131"/>
      <c r="B594" s="84"/>
      <c r="C594" s="2"/>
      <c r="D594" s="332"/>
      <c r="E594" s="425"/>
      <c r="F594" s="466">
        <f t="shared" si="3"/>
        <v>0</v>
      </c>
      <c r="G594" s="91"/>
    </row>
    <row r="595" spans="1:7" s="277" customFormat="1" ht="12.75">
      <c r="A595" s="127"/>
      <c r="B595" s="84" t="s">
        <v>2686</v>
      </c>
      <c r="C595" s="2"/>
      <c r="D595" s="332"/>
      <c r="E595" s="425"/>
      <c r="F595" s="466">
        <f t="shared" si="3"/>
        <v>0</v>
      </c>
      <c r="G595" s="91"/>
    </row>
    <row r="596" spans="1:7" s="277" customFormat="1" ht="12.75">
      <c r="A596" s="119"/>
      <c r="B596" s="84" t="s">
        <v>2633</v>
      </c>
      <c r="C596" s="2"/>
      <c r="D596" s="332"/>
      <c r="E596" s="425"/>
      <c r="F596" s="466">
        <f t="shared" si="3"/>
        <v>0</v>
      </c>
      <c r="G596" s="91"/>
    </row>
    <row r="597" spans="1:7" s="277" customFormat="1" ht="12.75">
      <c r="A597" s="119"/>
      <c r="B597" s="84" t="s">
        <v>2548</v>
      </c>
      <c r="C597" s="2"/>
      <c r="D597" s="332"/>
      <c r="E597" s="425"/>
      <c r="F597" s="466">
        <f t="shared" si="3"/>
        <v>0</v>
      </c>
      <c r="G597" s="91"/>
    </row>
    <row r="598" spans="1:7" s="277" customFormat="1" ht="12.75">
      <c r="A598" s="131"/>
      <c r="B598" s="84"/>
      <c r="C598" s="2"/>
      <c r="D598" s="332"/>
      <c r="E598" s="425"/>
      <c r="F598" s="466">
        <f t="shared" si="3"/>
        <v>0</v>
      </c>
      <c r="G598" s="91"/>
    </row>
    <row r="599" spans="1:7" s="277" customFormat="1" ht="12.75">
      <c r="A599" s="127"/>
      <c r="B599" s="84" t="s">
        <v>2630</v>
      </c>
      <c r="C599" s="2"/>
      <c r="D599" s="332"/>
      <c r="E599" s="425"/>
      <c r="F599" s="466">
        <f t="shared" si="3"/>
        <v>0</v>
      </c>
      <c r="G599" s="91"/>
    </row>
    <row r="600" spans="1:7" s="277" customFormat="1" ht="12.75">
      <c r="A600" s="119"/>
      <c r="B600" s="84" t="s">
        <v>2537</v>
      </c>
      <c r="C600" s="2" t="s">
        <v>1561</v>
      </c>
      <c r="D600" s="332">
        <v>1</v>
      </c>
      <c r="E600" s="465">
        <f>'Cost break dow.'!V744</f>
        <v>2632.124295395525</v>
      </c>
      <c r="F600" s="466">
        <f t="shared" si="3"/>
        <v>2632.124295395525</v>
      </c>
      <c r="G600" s="91"/>
    </row>
    <row r="601" spans="1:7" s="277" customFormat="1" ht="12.75">
      <c r="A601" s="119"/>
      <c r="B601" s="84"/>
      <c r="C601" s="2"/>
      <c r="D601" s="332"/>
      <c r="E601" s="425"/>
      <c r="F601" s="466">
        <f t="shared" si="3"/>
        <v>0</v>
      </c>
      <c r="G601" s="91"/>
    </row>
    <row r="602" spans="1:7" s="277" customFormat="1" ht="12.75">
      <c r="A602" s="119" t="s">
        <v>98</v>
      </c>
      <c r="B602" s="71" t="s">
        <v>2688</v>
      </c>
      <c r="C602" s="2"/>
      <c r="D602" s="332"/>
      <c r="E602" s="425"/>
      <c r="F602" s="466">
        <f t="shared" si="3"/>
        <v>0</v>
      </c>
      <c r="G602" s="91"/>
    </row>
    <row r="603" spans="1:7" s="277" customFormat="1" ht="12.75">
      <c r="A603" s="119"/>
      <c r="B603" s="132"/>
      <c r="C603" s="2"/>
      <c r="D603" s="332"/>
      <c r="E603" s="425"/>
      <c r="F603" s="466">
        <f t="shared" si="3"/>
        <v>0</v>
      </c>
      <c r="G603" s="91"/>
    </row>
    <row r="604" spans="1:7" s="277" customFormat="1" ht="12.75">
      <c r="A604" s="119"/>
      <c r="B604" s="84" t="s">
        <v>2686</v>
      </c>
      <c r="C604" s="2"/>
      <c r="D604" s="332"/>
      <c r="E604" s="425"/>
      <c r="F604" s="466">
        <f t="shared" si="3"/>
        <v>0</v>
      </c>
      <c r="G604" s="91"/>
    </row>
    <row r="605" spans="1:7" s="277" customFormat="1" ht="12.75">
      <c r="A605" s="119"/>
      <c r="B605" s="84" t="s">
        <v>2633</v>
      </c>
      <c r="C605" s="2"/>
      <c r="D605" s="332"/>
      <c r="E605" s="425"/>
      <c r="F605" s="466">
        <f t="shared" si="3"/>
        <v>0</v>
      </c>
      <c r="G605" s="91"/>
    </row>
    <row r="606" spans="1:7" s="277" customFormat="1" ht="12.75">
      <c r="A606" s="119"/>
      <c r="B606" s="84" t="s">
        <v>2548</v>
      </c>
      <c r="C606" s="2"/>
      <c r="D606" s="332"/>
      <c r="E606" s="425"/>
      <c r="F606" s="466">
        <f t="shared" si="3"/>
        <v>0</v>
      </c>
      <c r="G606" s="91"/>
    </row>
    <row r="607" spans="1:7" s="277" customFormat="1" ht="12.75">
      <c r="A607" s="131"/>
      <c r="B607" s="84"/>
      <c r="C607" s="2"/>
      <c r="D607" s="332"/>
      <c r="E607" s="425"/>
      <c r="F607" s="466">
        <f t="shared" si="3"/>
        <v>0</v>
      </c>
      <c r="G607" s="91"/>
    </row>
    <row r="608" spans="1:7" s="277" customFormat="1" ht="12.75">
      <c r="A608" s="127"/>
      <c r="B608" s="84" t="s">
        <v>2630</v>
      </c>
      <c r="C608" s="2"/>
      <c r="D608" s="332"/>
      <c r="E608" s="425"/>
      <c r="F608" s="466">
        <f t="shared" si="3"/>
        <v>0</v>
      </c>
      <c r="G608" s="91"/>
    </row>
    <row r="609" spans="1:7" s="277" customFormat="1" ht="12.75">
      <c r="A609" s="119"/>
      <c r="B609" s="84" t="s">
        <v>2537</v>
      </c>
      <c r="C609" s="2" t="s">
        <v>1561</v>
      </c>
      <c r="D609" s="332">
        <v>1</v>
      </c>
      <c r="E609" s="465">
        <f>'Cost break dow.'!V744</f>
        <v>2632.124295395525</v>
      </c>
      <c r="F609" s="466">
        <f t="shared" si="3"/>
        <v>2632.124295395525</v>
      </c>
      <c r="G609" s="91"/>
    </row>
    <row r="610" spans="1:7" s="277" customFormat="1" ht="12.75">
      <c r="A610" s="119"/>
      <c r="B610" s="84"/>
      <c r="C610" s="2"/>
      <c r="D610" s="332"/>
      <c r="E610" s="425"/>
      <c r="F610" s="466">
        <f t="shared" si="3"/>
        <v>0</v>
      </c>
      <c r="G610" s="91"/>
    </row>
    <row r="611" spans="1:7" s="277" customFormat="1" ht="12.75">
      <c r="A611" s="119" t="s">
        <v>99</v>
      </c>
      <c r="B611" s="84" t="s">
        <v>116</v>
      </c>
      <c r="C611" s="2"/>
      <c r="D611" s="332"/>
      <c r="E611" s="425"/>
      <c r="F611" s="466">
        <f t="shared" si="3"/>
        <v>0</v>
      </c>
      <c r="G611" s="91"/>
    </row>
    <row r="612" spans="1:7" s="277" customFormat="1" ht="12.75">
      <c r="A612" s="127"/>
      <c r="B612" s="84"/>
      <c r="C612" s="2"/>
      <c r="D612" s="332"/>
      <c r="E612" s="425"/>
      <c r="F612" s="466">
        <f t="shared" si="3"/>
        <v>0</v>
      </c>
      <c r="G612" s="91"/>
    </row>
    <row r="613" spans="1:7" s="277" customFormat="1" ht="12.75">
      <c r="A613" s="119"/>
      <c r="B613" s="84" t="s">
        <v>2686</v>
      </c>
      <c r="C613" s="2"/>
      <c r="D613" s="332"/>
      <c r="E613" s="425"/>
      <c r="F613" s="466">
        <f t="shared" si="3"/>
        <v>0</v>
      </c>
      <c r="G613" s="91"/>
    </row>
    <row r="614" spans="1:7" s="277" customFormat="1" ht="12.75">
      <c r="A614" s="119"/>
      <c r="B614" s="84" t="s">
        <v>117</v>
      </c>
      <c r="C614" s="2"/>
      <c r="D614" s="332"/>
      <c r="E614" s="425"/>
      <c r="F614" s="466">
        <f t="shared" si="3"/>
        <v>0</v>
      </c>
      <c r="G614" s="91"/>
    </row>
    <row r="615" spans="1:7" s="277" customFormat="1" ht="12.75">
      <c r="A615" s="119"/>
      <c r="B615" s="71" t="s">
        <v>2548</v>
      </c>
      <c r="C615" s="2"/>
      <c r="D615" s="332"/>
      <c r="E615" s="425"/>
      <c r="F615" s="466">
        <f t="shared" si="3"/>
        <v>0</v>
      </c>
      <c r="G615" s="91"/>
    </row>
    <row r="616" spans="1:7" s="277" customFormat="1" ht="12.75">
      <c r="A616" s="119"/>
      <c r="B616" s="132"/>
      <c r="C616" s="2"/>
      <c r="D616" s="332"/>
      <c r="E616" s="425"/>
      <c r="F616" s="466">
        <f t="shared" si="3"/>
        <v>0</v>
      </c>
      <c r="G616" s="91"/>
    </row>
    <row r="617" spans="1:7" s="277" customFormat="1" ht="12.75">
      <c r="A617" s="119"/>
      <c r="B617" s="84" t="s">
        <v>2630</v>
      </c>
      <c r="C617" s="2"/>
      <c r="D617" s="332"/>
      <c r="E617" s="425"/>
      <c r="F617" s="466">
        <f t="shared" si="3"/>
        <v>0</v>
      </c>
      <c r="G617" s="91"/>
    </row>
    <row r="618" spans="1:7" s="277" customFormat="1" ht="12.75">
      <c r="A618" s="119"/>
      <c r="B618" s="84" t="s">
        <v>2537</v>
      </c>
      <c r="C618" s="2" t="s">
        <v>1561</v>
      </c>
      <c r="D618" s="332">
        <v>1</v>
      </c>
      <c r="E618" s="465">
        <f>'Cost break dow.'!V744</f>
        <v>2632.124295395525</v>
      </c>
      <c r="F618" s="466">
        <f t="shared" si="3"/>
        <v>2632.124295395525</v>
      </c>
      <c r="G618" s="91"/>
    </row>
    <row r="619" spans="1:7" s="277" customFormat="1" ht="12.75">
      <c r="A619" s="119"/>
      <c r="B619" s="84"/>
      <c r="C619" s="2"/>
      <c r="D619" s="332"/>
      <c r="E619" s="425"/>
      <c r="F619" s="466">
        <f t="shared" si="3"/>
        <v>0</v>
      </c>
      <c r="G619" s="91"/>
    </row>
    <row r="620" spans="1:7" s="277" customFormat="1" ht="12.75">
      <c r="A620" s="119" t="s">
        <v>100</v>
      </c>
      <c r="B620" s="84" t="s">
        <v>2110</v>
      </c>
      <c r="C620" s="2"/>
      <c r="D620" s="332"/>
      <c r="E620" s="425"/>
      <c r="F620" s="466">
        <f t="shared" si="3"/>
        <v>0</v>
      </c>
      <c r="G620" s="91"/>
    </row>
    <row r="621" spans="1:7" s="277" customFormat="1" ht="12.75">
      <c r="A621" s="127"/>
      <c r="B621" s="84"/>
      <c r="C621" s="2"/>
      <c r="D621" s="332"/>
      <c r="E621" s="425"/>
      <c r="F621" s="466">
        <f t="shared" si="3"/>
        <v>0</v>
      </c>
      <c r="G621" s="91"/>
    </row>
    <row r="622" spans="1:7" s="277" customFormat="1" ht="12.75">
      <c r="A622" s="119"/>
      <c r="B622" s="84" t="s">
        <v>2686</v>
      </c>
      <c r="C622" s="2"/>
      <c r="D622" s="332"/>
      <c r="E622" s="425"/>
      <c r="F622" s="466">
        <f t="shared" si="3"/>
        <v>0</v>
      </c>
      <c r="G622" s="91"/>
    </row>
    <row r="623" spans="1:7" s="277" customFormat="1" ht="12.75">
      <c r="A623" s="119"/>
      <c r="B623" s="84" t="s">
        <v>2633</v>
      </c>
      <c r="C623" s="2"/>
      <c r="D623" s="332"/>
      <c r="E623" s="425"/>
      <c r="F623" s="466">
        <f t="shared" si="3"/>
        <v>0</v>
      </c>
      <c r="G623" s="91"/>
    </row>
    <row r="624" spans="1:7" s="277" customFormat="1" ht="12.75">
      <c r="A624" s="131"/>
      <c r="B624" s="84" t="s">
        <v>2548</v>
      </c>
      <c r="C624" s="2"/>
      <c r="D624" s="332"/>
      <c r="E624" s="425"/>
      <c r="F624" s="466">
        <f t="shared" si="3"/>
        <v>0</v>
      </c>
      <c r="G624" s="91"/>
    </row>
    <row r="625" spans="1:7" s="277" customFormat="1" ht="12.75">
      <c r="A625" s="127"/>
      <c r="B625" s="84"/>
      <c r="C625" s="2"/>
      <c r="D625" s="332"/>
      <c r="E625" s="425"/>
      <c r="F625" s="466">
        <f t="shared" si="3"/>
        <v>0</v>
      </c>
      <c r="G625" s="91"/>
    </row>
    <row r="626" spans="1:7" s="277" customFormat="1" ht="12.75">
      <c r="A626" s="119"/>
      <c r="B626" s="84" t="s">
        <v>2630</v>
      </c>
      <c r="C626" s="2"/>
      <c r="D626" s="332"/>
      <c r="E626" s="425"/>
      <c r="F626" s="466">
        <f t="shared" si="3"/>
        <v>0</v>
      </c>
      <c r="G626" s="91"/>
    </row>
    <row r="627" spans="1:7" s="277" customFormat="1" ht="12.75">
      <c r="A627" s="119"/>
      <c r="B627" s="84" t="s">
        <v>2537</v>
      </c>
      <c r="C627" s="2" t="s">
        <v>1561</v>
      </c>
      <c r="D627" s="332">
        <v>1</v>
      </c>
      <c r="E627" s="465">
        <f>'Cost break dow.'!V744</f>
        <v>2632.124295395525</v>
      </c>
      <c r="F627" s="466">
        <f t="shared" si="3"/>
        <v>2632.124295395525</v>
      </c>
      <c r="G627" s="91"/>
    </row>
    <row r="628" spans="1:7" s="277" customFormat="1" ht="12.75">
      <c r="A628" s="119"/>
      <c r="B628" s="71"/>
      <c r="C628" s="2"/>
      <c r="D628" s="332"/>
      <c r="E628" s="425"/>
      <c r="F628" s="466">
        <f t="shared" si="3"/>
        <v>0</v>
      </c>
      <c r="G628" s="91"/>
    </row>
    <row r="629" spans="1:7" s="277" customFormat="1" ht="12.75">
      <c r="A629" s="145" t="s">
        <v>101</v>
      </c>
      <c r="B629" s="84" t="s">
        <v>2044</v>
      </c>
      <c r="C629" s="2"/>
      <c r="D629" s="332"/>
      <c r="E629" s="425"/>
      <c r="F629" s="466">
        <f t="shared" si="3"/>
        <v>0</v>
      </c>
      <c r="G629" s="91"/>
    </row>
    <row r="630" spans="1:7" s="277" customFormat="1" ht="12.75">
      <c r="A630" s="119"/>
      <c r="B630" s="71"/>
      <c r="C630" s="2"/>
      <c r="D630" s="332"/>
      <c r="E630" s="425"/>
      <c r="F630" s="466">
        <f t="shared" si="3"/>
        <v>0</v>
      </c>
      <c r="G630" s="91"/>
    </row>
    <row r="631" spans="1:7" s="277" customFormat="1" ht="12.75">
      <c r="A631" s="119"/>
      <c r="B631" s="132" t="s">
        <v>2686</v>
      </c>
      <c r="C631" s="2"/>
      <c r="D631" s="332"/>
      <c r="E631" s="425"/>
      <c r="F631" s="466">
        <f aca="true" t="shared" si="4" ref="F631:F694">D631*E631</f>
        <v>0</v>
      </c>
      <c r="G631" s="91"/>
    </row>
    <row r="632" spans="1:7" s="277" customFormat="1" ht="12.75">
      <c r="A632" s="119"/>
      <c r="B632" s="84" t="s">
        <v>2633</v>
      </c>
      <c r="C632" s="2"/>
      <c r="D632" s="332"/>
      <c r="E632" s="425"/>
      <c r="F632" s="466">
        <f t="shared" si="4"/>
        <v>0</v>
      </c>
      <c r="G632" s="91"/>
    </row>
    <row r="633" spans="1:7" s="277" customFormat="1" ht="12.75">
      <c r="A633" s="119"/>
      <c r="B633" s="84" t="s">
        <v>2548</v>
      </c>
      <c r="C633" s="2"/>
      <c r="D633" s="332"/>
      <c r="E633" s="425"/>
      <c r="F633" s="466">
        <f t="shared" si="4"/>
        <v>0</v>
      </c>
      <c r="G633" s="91"/>
    </row>
    <row r="634" spans="1:7" s="277" customFormat="1" ht="12.75">
      <c r="A634" s="119"/>
      <c r="B634" s="84"/>
      <c r="C634" s="2"/>
      <c r="D634" s="332"/>
      <c r="E634" s="425"/>
      <c r="F634" s="466">
        <f t="shared" si="4"/>
        <v>0</v>
      </c>
      <c r="G634" s="91"/>
    </row>
    <row r="635" spans="1:7" s="277" customFormat="1" ht="12.75">
      <c r="A635" s="131"/>
      <c r="B635" s="84" t="s">
        <v>2630</v>
      </c>
      <c r="C635" s="2"/>
      <c r="D635" s="332"/>
      <c r="E635" s="425"/>
      <c r="F635" s="466">
        <f t="shared" si="4"/>
        <v>0</v>
      </c>
      <c r="G635" s="91"/>
    </row>
    <row r="636" spans="1:7" s="277" customFormat="1" ht="12.75">
      <c r="A636" s="127"/>
      <c r="B636" s="84" t="s">
        <v>2537</v>
      </c>
      <c r="C636" s="2" t="s">
        <v>1561</v>
      </c>
      <c r="D636" s="332">
        <v>1</v>
      </c>
      <c r="E636" s="465">
        <f>E627</f>
        <v>2632.124295395525</v>
      </c>
      <c r="F636" s="466">
        <f t="shared" si="4"/>
        <v>2632.124295395525</v>
      </c>
      <c r="G636" s="91"/>
    </row>
    <row r="637" spans="1:7" s="277" customFormat="1" ht="12.75">
      <c r="A637" s="119"/>
      <c r="B637" s="84"/>
      <c r="C637" s="2"/>
      <c r="D637" s="332"/>
      <c r="E637" s="425"/>
      <c r="F637" s="466">
        <f t="shared" si="4"/>
        <v>0</v>
      </c>
      <c r="G637" s="91"/>
    </row>
    <row r="638" spans="1:7" s="277" customFormat="1" ht="12.75">
      <c r="A638" s="119" t="s">
        <v>102</v>
      </c>
      <c r="B638" s="84" t="s">
        <v>2045</v>
      </c>
      <c r="C638" s="2"/>
      <c r="D638" s="332"/>
      <c r="E638" s="425"/>
      <c r="F638" s="466">
        <f t="shared" si="4"/>
        <v>0</v>
      </c>
      <c r="G638" s="91"/>
    </row>
    <row r="639" spans="1:7" s="277" customFormat="1" ht="12.75">
      <c r="A639" s="131"/>
      <c r="B639" s="84"/>
      <c r="C639" s="2"/>
      <c r="D639" s="332"/>
      <c r="E639" s="425"/>
      <c r="F639" s="466">
        <f t="shared" si="4"/>
        <v>0</v>
      </c>
      <c r="G639" s="91"/>
    </row>
    <row r="640" spans="1:7" s="277" customFormat="1" ht="12.75">
      <c r="A640" s="127"/>
      <c r="B640" s="84" t="s">
        <v>2686</v>
      </c>
      <c r="C640" s="2"/>
      <c r="D640" s="332"/>
      <c r="E640" s="425"/>
      <c r="F640" s="466">
        <f t="shared" si="4"/>
        <v>0</v>
      </c>
      <c r="G640" s="91"/>
    </row>
    <row r="641" spans="1:7" s="277" customFormat="1" ht="12.75">
      <c r="A641" s="119"/>
      <c r="B641" s="84" t="s">
        <v>2633</v>
      </c>
      <c r="C641" s="2"/>
      <c r="D641" s="332"/>
      <c r="E641" s="425"/>
      <c r="F641" s="466">
        <f t="shared" si="4"/>
        <v>0</v>
      </c>
      <c r="G641" s="91"/>
    </row>
    <row r="642" spans="1:7" s="277" customFormat="1" ht="12.75">
      <c r="A642" s="119"/>
      <c r="B642" s="84" t="s">
        <v>2548</v>
      </c>
      <c r="C642" s="2"/>
      <c r="D642" s="332"/>
      <c r="E642" s="425"/>
      <c r="F642" s="466">
        <f t="shared" si="4"/>
        <v>0</v>
      </c>
      <c r="G642" s="91"/>
    </row>
    <row r="643" spans="1:7" s="277" customFormat="1" ht="12.75">
      <c r="A643" s="119"/>
      <c r="B643" s="71"/>
      <c r="C643" s="2"/>
      <c r="D643" s="332"/>
      <c r="E643" s="425"/>
      <c r="F643" s="466">
        <f t="shared" si="4"/>
        <v>0</v>
      </c>
      <c r="G643" s="91"/>
    </row>
    <row r="644" spans="1:7" s="277" customFormat="1" ht="12.75">
      <c r="A644" s="119"/>
      <c r="B644" s="132" t="s">
        <v>2630</v>
      </c>
      <c r="C644" s="2"/>
      <c r="D644" s="332"/>
      <c r="E644" s="425"/>
      <c r="F644" s="466">
        <f t="shared" si="4"/>
        <v>0</v>
      </c>
      <c r="G644" s="91"/>
    </row>
    <row r="645" spans="1:7" s="277" customFormat="1" ht="12.75">
      <c r="A645" s="119"/>
      <c r="B645" s="84" t="s">
        <v>2537</v>
      </c>
      <c r="C645" s="2" t="s">
        <v>1561</v>
      </c>
      <c r="D645" s="332">
        <v>1</v>
      </c>
      <c r="E645" s="465">
        <f>E636</f>
        <v>2632.124295395525</v>
      </c>
      <c r="F645" s="466">
        <f t="shared" si="4"/>
        <v>2632.124295395525</v>
      </c>
      <c r="G645" s="91"/>
    </row>
    <row r="646" spans="1:7" s="277" customFormat="1" ht="12.75">
      <c r="A646" s="119"/>
      <c r="B646" s="84"/>
      <c r="C646" s="2"/>
      <c r="D646" s="332"/>
      <c r="E646" s="425"/>
      <c r="F646" s="466">
        <f t="shared" si="4"/>
        <v>0</v>
      </c>
      <c r="G646" s="91"/>
    </row>
    <row r="647" spans="1:7" s="277" customFormat="1" ht="12.75">
      <c r="A647" s="119" t="s">
        <v>103</v>
      </c>
      <c r="B647" s="84" t="s">
        <v>2046</v>
      </c>
      <c r="C647" s="2"/>
      <c r="D647" s="332"/>
      <c r="E647" s="425"/>
      <c r="F647" s="466">
        <f t="shared" si="4"/>
        <v>0</v>
      </c>
      <c r="G647" s="91"/>
    </row>
    <row r="648" spans="1:7" s="277" customFormat="1" ht="12.75">
      <c r="A648" s="131"/>
      <c r="B648" s="84"/>
      <c r="C648" s="2"/>
      <c r="D648" s="332"/>
      <c r="E648" s="425"/>
      <c r="F648" s="466">
        <f t="shared" si="4"/>
        <v>0</v>
      </c>
      <c r="G648" s="91"/>
    </row>
    <row r="649" spans="1:7" s="277" customFormat="1" ht="12.75">
      <c r="A649" s="127"/>
      <c r="B649" s="84" t="s">
        <v>2686</v>
      </c>
      <c r="C649" s="2"/>
      <c r="D649" s="332"/>
      <c r="E649" s="425"/>
      <c r="F649" s="466">
        <f t="shared" si="4"/>
        <v>0</v>
      </c>
      <c r="G649" s="91"/>
    </row>
    <row r="650" spans="1:7" s="277" customFormat="1" ht="12.75">
      <c r="A650" s="119"/>
      <c r="B650" s="84" t="s">
        <v>2633</v>
      </c>
      <c r="C650" s="2"/>
      <c r="D650" s="332"/>
      <c r="E650" s="425"/>
      <c r="F650" s="466">
        <f t="shared" si="4"/>
        <v>0</v>
      </c>
      <c r="G650" s="91"/>
    </row>
    <row r="651" spans="1:7" s="277" customFormat="1" ht="12.75">
      <c r="A651" s="119"/>
      <c r="B651" s="84" t="s">
        <v>2548</v>
      </c>
      <c r="C651" s="2"/>
      <c r="D651" s="332"/>
      <c r="E651" s="425"/>
      <c r="F651" s="466">
        <f t="shared" si="4"/>
        <v>0</v>
      </c>
      <c r="G651" s="91"/>
    </row>
    <row r="652" spans="1:7" s="277" customFormat="1" ht="12.75">
      <c r="A652" s="131"/>
      <c r="B652" s="84"/>
      <c r="C652" s="2"/>
      <c r="D652" s="332"/>
      <c r="E652" s="425"/>
      <c r="F652" s="466">
        <f t="shared" si="4"/>
        <v>0</v>
      </c>
      <c r="G652" s="91"/>
    </row>
    <row r="653" spans="1:7" s="277" customFormat="1" ht="12.75">
      <c r="A653" s="127"/>
      <c r="B653" s="84" t="s">
        <v>2630</v>
      </c>
      <c r="C653" s="2"/>
      <c r="D653" s="332"/>
      <c r="E653" s="425"/>
      <c r="F653" s="466">
        <f t="shared" si="4"/>
        <v>0</v>
      </c>
      <c r="G653" s="91"/>
    </row>
    <row r="654" spans="1:7" s="277" customFormat="1" ht="12.75">
      <c r="A654" s="119"/>
      <c r="B654" s="84" t="s">
        <v>2537</v>
      </c>
      <c r="C654" s="2" t="s">
        <v>1561</v>
      </c>
      <c r="D654" s="332">
        <v>1</v>
      </c>
      <c r="E654" s="465">
        <f>E645</f>
        <v>2632.124295395525</v>
      </c>
      <c r="F654" s="466">
        <f t="shared" si="4"/>
        <v>2632.124295395525</v>
      </c>
      <c r="G654" s="91"/>
    </row>
    <row r="655" spans="1:7" s="277" customFormat="1" ht="12.75">
      <c r="A655" s="119"/>
      <c r="B655" s="84"/>
      <c r="C655" s="2"/>
      <c r="D655" s="332"/>
      <c r="E655" s="425"/>
      <c r="F655" s="466">
        <f t="shared" si="4"/>
        <v>0</v>
      </c>
      <c r="G655" s="91"/>
    </row>
    <row r="656" spans="1:7" s="277" customFormat="1" ht="12.75">
      <c r="A656" s="119" t="s">
        <v>104</v>
      </c>
      <c r="B656" s="71" t="s">
        <v>2047</v>
      </c>
      <c r="C656" s="2"/>
      <c r="D656" s="332"/>
      <c r="E656" s="425"/>
      <c r="F656" s="466">
        <f t="shared" si="4"/>
        <v>0</v>
      </c>
      <c r="G656" s="91"/>
    </row>
    <row r="657" spans="1:7" s="277" customFormat="1" ht="12.75">
      <c r="A657" s="119"/>
      <c r="B657" s="132"/>
      <c r="C657" s="2"/>
      <c r="D657" s="332"/>
      <c r="E657" s="425"/>
      <c r="F657" s="466">
        <f t="shared" si="4"/>
        <v>0</v>
      </c>
      <c r="G657" s="91"/>
    </row>
    <row r="658" spans="1:7" s="277" customFormat="1" ht="12.75">
      <c r="A658" s="119"/>
      <c r="B658" s="84" t="s">
        <v>2686</v>
      </c>
      <c r="C658" s="2"/>
      <c r="D658" s="332"/>
      <c r="E658" s="425"/>
      <c r="F658" s="466">
        <f t="shared" si="4"/>
        <v>0</v>
      </c>
      <c r="G658" s="91"/>
    </row>
    <row r="659" spans="1:7" s="277" customFormat="1" ht="12.75">
      <c r="A659" s="119"/>
      <c r="B659" s="84" t="s">
        <v>117</v>
      </c>
      <c r="C659" s="2"/>
      <c r="D659" s="332"/>
      <c r="E659" s="425"/>
      <c r="F659" s="466">
        <f t="shared" si="4"/>
        <v>0</v>
      </c>
      <c r="G659" s="91"/>
    </row>
    <row r="660" spans="1:7" s="277" customFormat="1" ht="12.75">
      <c r="A660" s="119"/>
      <c r="B660" s="84" t="s">
        <v>2548</v>
      </c>
      <c r="C660" s="2"/>
      <c r="D660" s="332"/>
      <c r="E660" s="425"/>
      <c r="F660" s="466">
        <f t="shared" si="4"/>
        <v>0</v>
      </c>
      <c r="G660" s="91"/>
    </row>
    <row r="661" spans="1:7" s="277" customFormat="1" ht="12.75">
      <c r="A661" s="131"/>
      <c r="B661" s="84"/>
      <c r="C661" s="2"/>
      <c r="D661" s="332"/>
      <c r="E661" s="425"/>
      <c r="F661" s="466">
        <f t="shared" si="4"/>
        <v>0</v>
      </c>
      <c r="G661" s="91"/>
    </row>
    <row r="662" spans="1:7" s="277" customFormat="1" ht="12.75">
      <c r="A662" s="127"/>
      <c r="B662" s="84" t="s">
        <v>2630</v>
      </c>
      <c r="C662" s="2"/>
      <c r="D662" s="332"/>
      <c r="E662" s="425"/>
      <c r="F662" s="466">
        <f t="shared" si="4"/>
        <v>0</v>
      </c>
      <c r="G662" s="91"/>
    </row>
    <row r="663" spans="1:7" s="277" customFormat="1" ht="12.75">
      <c r="A663" s="119"/>
      <c r="B663" s="84" t="s">
        <v>2537</v>
      </c>
      <c r="C663" s="2" t="s">
        <v>1561</v>
      </c>
      <c r="D663" s="332">
        <v>1</v>
      </c>
      <c r="E663" s="465">
        <f>E654</f>
        <v>2632.124295395525</v>
      </c>
      <c r="F663" s="466">
        <f t="shared" si="4"/>
        <v>2632.124295395525</v>
      </c>
      <c r="G663" s="91"/>
    </row>
    <row r="664" spans="1:7" s="277" customFormat="1" ht="12.75">
      <c r="A664" s="119"/>
      <c r="B664" s="84"/>
      <c r="C664" s="2"/>
      <c r="D664" s="332"/>
      <c r="E664" s="425"/>
      <c r="F664" s="466">
        <f t="shared" si="4"/>
        <v>0</v>
      </c>
      <c r="G664" s="91"/>
    </row>
    <row r="665" spans="1:7" s="277" customFormat="1" ht="12.75">
      <c r="A665" s="119" t="s">
        <v>105</v>
      </c>
      <c r="B665" s="84" t="s">
        <v>2048</v>
      </c>
      <c r="C665" s="2"/>
      <c r="D665" s="332"/>
      <c r="E665" s="425"/>
      <c r="F665" s="466">
        <f t="shared" si="4"/>
        <v>0</v>
      </c>
      <c r="G665" s="91"/>
    </row>
    <row r="666" spans="1:7" s="277" customFormat="1" ht="12.75">
      <c r="A666" s="119"/>
      <c r="B666" s="84"/>
      <c r="C666" s="2"/>
      <c r="D666" s="332"/>
      <c r="E666" s="425"/>
      <c r="F666" s="466">
        <f t="shared" si="4"/>
        <v>0</v>
      </c>
      <c r="G666" s="91"/>
    </row>
    <row r="667" spans="1:7" s="277" customFormat="1" ht="12.75">
      <c r="A667" s="131"/>
      <c r="B667" s="84" t="s">
        <v>2686</v>
      </c>
      <c r="C667" s="2"/>
      <c r="D667" s="332"/>
      <c r="E667" s="425"/>
      <c r="F667" s="466">
        <f t="shared" si="4"/>
        <v>0</v>
      </c>
      <c r="G667" s="91"/>
    </row>
    <row r="668" spans="1:7" s="277" customFormat="1" ht="12.75">
      <c r="A668" s="127"/>
      <c r="B668" s="84" t="s">
        <v>2633</v>
      </c>
      <c r="C668" s="2"/>
      <c r="D668" s="332"/>
      <c r="E668" s="425"/>
      <c r="F668" s="466">
        <f t="shared" si="4"/>
        <v>0</v>
      </c>
      <c r="G668" s="91"/>
    </row>
    <row r="669" spans="1:7" s="277" customFormat="1" ht="12.75">
      <c r="A669" s="119"/>
      <c r="B669" s="84" t="s">
        <v>2548</v>
      </c>
      <c r="C669" s="2"/>
      <c r="D669" s="332"/>
      <c r="E669" s="425"/>
      <c r="F669" s="466">
        <f t="shared" si="4"/>
        <v>0</v>
      </c>
      <c r="G669" s="91"/>
    </row>
    <row r="670" spans="1:7" s="277" customFormat="1" ht="12.75">
      <c r="A670" s="119"/>
      <c r="B670" s="84"/>
      <c r="C670" s="2"/>
      <c r="D670" s="332"/>
      <c r="E670" s="425"/>
      <c r="F670" s="466">
        <f t="shared" si="4"/>
        <v>0</v>
      </c>
      <c r="G670" s="91"/>
    </row>
    <row r="671" spans="1:7" s="277" customFormat="1" ht="12.75">
      <c r="A671" s="119"/>
      <c r="B671" s="71" t="s">
        <v>2630</v>
      </c>
      <c r="C671" s="2"/>
      <c r="D671" s="332"/>
      <c r="E671" s="425"/>
      <c r="F671" s="466">
        <f t="shared" si="4"/>
        <v>0</v>
      </c>
      <c r="G671" s="91"/>
    </row>
    <row r="672" spans="1:7" s="277" customFormat="1" ht="12.75">
      <c r="A672" s="119"/>
      <c r="B672" s="132" t="s">
        <v>2537</v>
      </c>
      <c r="C672" s="2" t="s">
        <v>1561</v>
      </c>
      <c r="D672" s="332">
        <v>1</v>
      </c>
      <c r="E672" s="465">
        <f>E663</f>
        <v>2632.124295395525</v>
      </c>
      <c r="F672" s="466">
        <f t="shared" si="4"/>
        <v>2632.124295395525</v>
      </c>
      <c r="G672" s="91"/>
    </row>
    <row r="673" spans="1:7" s="277" customFormat="1" ht="12.75">
      <c r="A673" s="119"/>
      <c r="B673" s="84"/>
      <c r="C673" s="2"/>
      <c r="D673" s="332"/>
      <c r="E673" s="425"/>
      <c r="F673" s="466">
        <f t="shared" si="4"/>
        <v>0</v>
      </c>
      <c r="G673" s="91"/>
    </row>
    <row r="674" spans="1:7" s="277" customFormat="1" ht="12.75">
      <c r="A674" s="119" t="s">
        <v>106</v>
      </c>
      <c r="B674" s="84" t="s">
        <v>2049</v>
      </c>
      <c r="C674" s="2"/>
      <c r="D674" s="332"/>
      <c r="E674" s="425"/>
      <c r="F674" s="466">
        <f t="shared" si="4"/>
        <v>0</v>
      </c>
      <c r="G674" s="91"/>
    </row>
    <row r="675" spans="1:7" s="277" customFormat="1" ht="12.75">
      <c r="A675" s="119"/>
      <c r="B675" s="84"/>
      <c r="C675" s="2"/>
      <c r="D675" s="332"/>
      <c r="E675" s="425"/>
      <c r="F675" s="466">
        <f t="shared" si="4"/>
        <v>0</v>
      </c>
      <c r="G675" s="91"/>
    </row>
    <row r="676" spans="1:7" s="277" customFormat="1" ht="12.75">
      <c r="A676" s="131"/>
      <c r="B676" s="84" t="s">
        <v>2686</v>
      </c>
      <c r="C676" s="2"/>
      <c r="D676" s="332"/>
      <c r="E676" s="425"/>
      <c r="F676" s="466">
        <f t="shared" si="4"/>
        <v>0</v>
      </c>
      <c r="G676" s="91"/>
    </row>
    <row r="677" spans="1:7" s="277" customFormat="1" ht="12.75">
      <c r="A677" s="127"/>
      <c r="B677" s="84" t="s">
        <v>2633</v>
      </c>
      <c r="C677" s="2"/>
      <c r="D677" s="332"/>
      <c r="E677" s="425"/>
      <c r="F677" s="466">
        <f t="shared" si="4"/>
        <v>0</v>
      </c>
      <c r="G677" s="91"/>
    </row>
    <row r="678" spans="1:7" s="277" customFormat="1" ht="12.75">
      <c r="A678" s="119"/>
      <c r="B678" s="84" t="s">
        <v>2548</v>
      </c>
      <c r="C678" s="2"/>
      <c r="D678" s="332"/>
      <c r="E678" s="425"/>
      <c r="F678" s="466">
        <f t="shared" si="4"/>
        <v>0</v>
      </c>
      <c r="G678" s="91"/>
    </row>
    <row r="679" spans="1:7" s="277" customFormat="1" ht="12.75">
      <c r="A679" s="119"/>
      <c r="B679" s="84"/>
      <c r="C679" s="2"/>
      <c r="D679" s="332"/>
      <c r="E679" s="425"/>
      <c r="F679" s="466">
        <f t="shared" si="4"/>
        <v>0</v>
      </c>
      <c r="G679" s="91"/>
    </row>
    <row r="680" spans="1:7" s="277" customFormat="1" ht="12.75">
      <c r="A680" s="131"/>
      <c r="B680" s="84" t="s">
        <v>2630</v>
      </c>
      <c r="C680" s="2"/>
      <c r="D680" s="332"/>
      <c r="E680" s="425"/>
      <c r="F680" s="466">
        <f t="shared" si="4"/>
        <v>0</v>
      </c>
      <c r="G680" s="91"/>
    </row>
    <row r="681" spans="1:7" s="277" customFormat="1" ht="12.75">
      <c r="A681" s="127"/>
      <c r="B681" s="84" t="s">
        <v>2537</v>
      </c>
      <c r="C681" s="2" t="s">
        <v>1561</v>
      </c>
      <c r="D681" s="332">
        <v>1</v>
      </c>
      <c r="E681" s="465">
        <f>E672</f>
        <v>2632.124295395525</v>
      </c>
      <c r="F681" s="466">
        <f t="shared" si="4"/>
        <v>2632.124295395525</v>
      </c>
      <c r="G681" s="91"/>
    </row>
    <row r="682" spans="1:7" s="277" customFormat="1" ht="12.75">
      <c r="A682" s="119"/>
      <c r="B682" s="84"/>
      <c r="C682" s="2"/>
      <c r="D682" s="332"/>
      <c r="E682" s="425"/>
      <c r="F682" s="466">
        <f t="shared" si="4"/>
        <v>0</v>
      </c>
      <c r="G682" s="91"/>
    </row>
    <row r="683" spans="1:7" s="277" customFormat="1" ht="12.75">
      <c r="A683" s="119" t="s">
        <v>107</v>
      </c>
      <c r="B683" s="84" t="s">
        <v>2050</v>
      </c>
      <c r="C683" s="2"/>
      <c r="D683" s="332"/>
      <c r="E683" s="425"/>
      <c r="F683" s="466">
        <f t="shared" si="4"/>
        <v>0</v>
      </c>
      <c r="G683" s="91"/>
    </row>
    <row r="684" spans="1:7" s="277" customFormat="1" ht="12.75">
      <c r="A684" s="119"/>
      <c r="B684" s="71"/>
      <c r="C684" s="2"/>
      <c r="D684" s="332"/>
      <c r="E684" s="425"/>
      <c r="F684" s="466">
        <f t="shared" si="4"/>
        <v>0</v>
      </c>
      <c r="G684" s="91"/>
    </row>
    <row r="685" spans="1:7" s="277" customFormat="1" ht="12.75">
      <c r="A685" s="119"/>
      <c r="B685" s="132" t="s">
        <v>2686</v>
      </c>
      <c r="C685" s="2"/>
      <c r="D685" s="332"/>
      <c r="E685" s="425"/>
      <c r="F685" s="466">
        <f t="shared" si="4"/>
        <v>0</v>
      </c>
      <c r="G685" s="91"/>
    </row>
    <row r="686" spans="1:7" s="277" customFormat="1" ht="12.75">
      <c r="A686" s="119"/>
      <c r="B686" s="84" t="s">
        <v>2633</v>
      </c>
      <c r="C686" s="2"/>
      <c r="D686" s="332"/>
      <c r="E686" s="425"/>
      <c r="F686" s="466">
        <f t="shared" si="4"/>
        <v>0</v>
      </c>
      <c r="G686" s="91"/>
    </row>
    <row r="687" spans="1:7" s="277" customFormat="1" ht="12.75">
      <c r="A687" s="119"/>
      <c r="B687" s="84" t="s">
        <v>2548</v>
      </c>
      <c r="C687" s="2"/>
      <c r="D687" s="332"/>
      <c r="E687" s="425"/>
      <c r="F687" s="466">
        <f t="shared" si="4"/>
        <v>0</v>
      </c>
      <c r="G687" s="91"/>
    </row>
    <row r="688" spans="1:7" s="277" customFormat="1" ht="12.75">
      <c r="A688" s="119"/>
      <c r="B688" s="84"/>
      <c r="C688" s="2"/>
      <c r="D688" s="332"/>
      <c r="E688" s="425"/>
      <c r="F688" s="466">
        <f t="shared" si="4"/>
        <v>0</v>
      </c>
      <c r="G688" s="91"/>
    </row>
    <row r="689" spans="1:7" s="277" customFormat="1" ht="12.75">
      <c r="A689" s="131"/>
      <c r="B689" s="84" t="s">
        <v>2630</v>
      </c>
      <c r="C689" s="2"/>
      <c r="D689" s="332"/>
      <c r="E689" s="425"/>
      <c r="F689" s="466">
        <f t="shared" si="4"/>
        <v>0</v>
      </c>
      <c r="G689" s="91"/>
    </row>
    <row r="690" spans="1:7" s="277" customFormat="1" ht="12.75">
      <c r="A690" s="127"/>
      <c r="B690" s="84" t="s">
        <v>2537</v>
      </c>
      <c r="C690" s="2" t="s">
        <v>1561</v>
      </c>
      <c r="D690" s="332">
        <v>1</v>
      </c>
      <c r="E690" s="465">
        <f>E681</f>
        <v>2632.124295395525</v>
      </c>
      <c r="F690" s="466">
        <f t="shared" si="4"/>
        <v>2632.124295395525</v>
      </c>
      <c r="G690" s="91"/>
    </row>
    <row r="691" spans="1:7" s="277" customFormat="1" ht="12.75">
      <c r="A691" s="119"/>
      <c r="B691" s="84"/>
      <c r="C691" s="2"/>
      <c r="D691" s="332"/>
      <c r="E691" s="425"/>
      <c r="F691" s="466">
        <f t="shared" si="4"/>
        <v>0</v>
      </c>
      <c r="G691" s="91"/>
    </row>
    <row r="692" spans="1:7" s="277" customFormat="1" ht="12.75">
      <c r="A692" s="119" t="s">
        <v>108</v>
      </c>
      <c r="B692" s="84" t="s">
        <v>2051</v>
      </c>
      <c r="C692" s="2"/>
      <c r="D692" s="332"/>
      <c r="E692" s="425"/>
      <c r="F692" s="466">
        <f t="shared" si="4"/>
        <v>0</v>
      </c>
      <c r="G692" s="91"/>
    </row>
    <row r="693" spans="1:7" s="277" customFormat="1" ht="12.75">
      <c r="A693" s="131"/>
      <c r="B693" s="84"/>
      <c r="C693" s="2"/>
      <c r="D693" s="332"/>
      <c r="E693" s="425"/>
      <c r="F693" s="466">
        <f t="shared" si="4"/>
        <v>0</v>
      </c>
      <c r="G693" s="91"/>
    </row>
    <row r="694" spans="1:7" s="277" customFormat="1" ht="12.75">
      <c r="A694" s="127"/>
      <c r="B694" s="84" t="s">
        <v>2686</v>
      </c>
      <c r="C694" s="2"/>
      <c r="D694" s="332"/>
      <c r="E694" s="425"/>
      <c r="F694" s="466">
        <f t="shared" si="4"/>
        <v>0</v>
      </c>
      <c r="G694" s="91"/>
    </row>
    <row r="695" spans="1:7" s="277" customFormat="1" ht="12.75">
      <c r="A695" s="119"/>
      <c r="B695" s="84" t="s">
        <v>117</v>
      </c>
      <c r="C695" s="2"/>
      <c r="D695" s="332"/>
      <c r="E695" s="425"/>
      <c r="F695" s="466">
        <f aca="true" t="shared" si="5" ref="F695:F758">D695*E695</f>
        <v>0</v>
      </c>
      <c r="G695" s="91"/>
    </row>
    <row r="696" spans="1:7" s="277" customFormat="1" ht="12.75">
      <c r="A696" s="119"/>
      <c r="B696" s="84" t="s">
        <v>2548</v>
      </c>
      <c r="C696" s="2"/>
      <c r="D696" s="332"/>
      <c r="E696" s="425"/>
      <c r="F696" s="466">
        <f t="shared" si="5"/>
        <v>0</v>
      </c>
      <c r="G696" s="91"/>
    </row>
    <row r="697" spans="1:7" s="277" customFormat="1" ht="12.75">
      <c r="A697" s="119"/>
      <c r="B697" s="71"/>
      <c r="C697" s="2"/>
      <c r="D697" s="332"/>
      <c r="E697" s="425"/>
      <c r="F697" s="466">
        <f t="shared" si="5"/>
        <v>0</v>
      </c>
      <c r="G697" s="91"/>
    </row>
    <row r="698" spans="1:7" s="277" customFormat="1" ht="12.75">
      <c r="A698" s="119"/>
      <c r="B698" s="132" t="s">
        <v>2630</v>
      </c>
      <c r="C698" s="2"/>
      <c r="D698" s="332"/>
      <c r="E698" s="425"/>
      <c r="F698" s="466">
        <f t="shared" si="5"/>
        <v>0</v>
      </c>
      <c r="G698" s="91"/>
    </row>
    <row r="699" spans="1:7" s="277" customFormat="1" ht="12.75">
      <c r="A699" s="119"/>
      <c r="B699" s="84" t="s">
        <v>2537</v>
      </c>
      <c r="C699" s="2" t="s">
        <v>1561</v>
      </c>
      <c r="D699" s="332">
        <v>1</v>
      </c>
      <c r="E699" s="465">
        <f>E690</f>
        <v>2632.124295395525</v>
      </c>
      <c r="F699" s="466">
        <f t="shared" si="5"/>
        <v>2632.124295395525</v>
      </c>
      <c r="G699" s="91"/>
    </row>
    <row r="700" spans="1:7" s="277" customFormat="1" ht="12.75">
      <c r="A700" s="119"/>
      <c r="B700" s="84"/>
      <c r="C700" s="2"/>
      <c r="D700" s="332"/>
      <c r="E700" s="425"/>
      <c r="F700" s="466">
        <f t="shared" si="5"/>
        <v>0</v>
      </c>
      <c r="G700" s="91"/>
    </row>
    <row r="701" spans="1:7" s="277" customFormat="1" ht="12.75">
      <c r="A701" s="119" t="s">
        <v>109</v>
      </c>
      <c r="B701" s="84" t="s">
        <v>2052</v>
      </c>
      <c r="C701" s="2"/>
      <c r="D701" s="332"/>
      <c r="E701" s="425"/>
      <c r="F701" s="466">
        <f t="shared" si="5"/>
        <v>0</v>
      </c>
      <c r="G701" s="91"/>
    </row>
    <row r="702" spans="1:7" s="277" customFormat="1" ht="12.75">
      <c r="A702" s="119"/>
      <c r="B702" s="84"/>
      <c r="C702" s="2"/>
      <c r="D702" s="332"/>
      <c r="E702" s="425"/>
      <c r="F702" s="466">
        <f t="shared" si="5"/>
        <v>0</v>
      </c>
      <c r="G702" s="91"/>
    </row>
    <row r="703" spans="1:7" s="277" customFormat="1" ht="12.75">
      <c r="A703" s="119"/>
      <c r="B703" s="84" t="s">
        <v>2686</v>
      </c>
      <c r="C703" s="2"/>
      <c r="D703" s="332"/>
      <c r="E703" s="425"/>
      <c r="F703" s="466">
        <f t="shared" si="5"/>
        <v>0</v>
      </c>
      <c r="G703" s="91"/>
    </row>
    <row r="704" spans="1:7" s="277" customFormat="1" ht="12.75">
      <c r="A704" s="131"/>
      <c r="B704" s="84" t="s">
        <v>2633</v>
      </c>
      <c r="C704" s="2"/>
      <c r="D704" s="332"/>
      <c r="E704" s="425"/>
      <c r="F704" s="466">
        <f t="shared" si="5"/>
        <v>0</v>
      </c>
      <c r="G704" s="91"/>
    </row>
    <row r="705" spans="1:7" s="277" customFormat="1" ht="12.75">
      <c r="A705" s="127"/>
      <c r="B705" s="84" t="s">
        <v>2548</v>
      </c>
      <c r="C705" s="2"/>
      <c r="D705" s="332"/>
      <c r="E705" s="425"/>
      <c r="F705" s="466">
        <f t="shared" si="5"/>
        <v>0</v>
      </c>
      <c r="G705" s="91"/>
    </row>
    <row r="706" spans="1:7" s="277" customFormat="1" ht="12.75">
      <c r="A706" s="119"/>
      <c r="B706" s="84"/>
      <c r="C706" s="2"/>
      <c r="D706" s="332"/>
      <c r="E706" s="425"/>
      <c r="F706" s="466">
        <f t="shared" si="5"/>
        <v>0</v>
      </c>
      <c r="G706" s="91"/>
    </row>
    <row r="707" spans="1:7" s="277" customFormat="1" ht="12.75">
      <c r="A707" s="119"/>
      <c r="B707" s="84" t="s">
        <v>2630</v>
      </c>
      <c r="C707" s="2"/>
      <c r="D707" s="332"/>
      <c r="E707" s="425"/>
      <c r="F707" s="466">
        <f t="shared" si="5"/>
        <v>0</v>
      </c>
      <c r="G707" s="91"/>
    </row>
    <row r="708" spans="1:7" s="277" customFormat="1" ht="12.75">
      <c r="A708" s="131"/>
      <c r="B708" s="84" t="s">
        <v>2537</v>
      </c>
      <c r="C708" s="2" t="s">
        <v>1561</v>
      </c>
      <c r="D708" s="332">
        <v>1</v>
      </c>
      <c r="E708" s="465">
        <f>E699</f>
        <v>2632.124295395525</v>
      </c>
      <c r="F708" s="466">
        <f t="shared" si="5"/>
        <v>2632.124295395525</v>
      </c>
      <c r="G708" s="91"/>
    </row>
    <row r="709" spans="1:7" s="277" customFormat="1" ht="12.75">
      <c r="A709" s="127"/>
      <c r="B709" s="84"/>
      <c r="C709" s="2"/>
      <c r="D709" s="332"/>
      <c r="E709" s="425"/>
      <c r="F709" s="466">
        <f t="shared" si="5"/>
        <v>0</v>
      </c>
      <c r="G709" s="91"/>
    </row>
    <row r="710" spans="1:7" s="277" customFormat="1" ht="12.75">
      <c r="A710" s="119" t="s">
        <v>110</v>
      </c>
      <c r="B710" s="84" t="s">
        <v>1092</v>
      </c>
      <c r="C710" s="2"/>
      <c r="D710" s="332"/>
      <c r="E710" s="425"/>
      <c r="F710" s="466">
        <f t="shared" si="5"/>
        <v>0</v>
      </c>
      <c r="G710" s="91"/>
    </row>
    <row r="711" spans="1:7" s="277" customFormat="1" ht="12.75">
      <c r="A711" s="119"/>
      <c r="B711" s="84"/>
      <c r="C711" s="2"/>
      <c r="D711" s="332"/>
      <c r="E711" s="425"/>
      <c r="F711" s="466">
        <f t="shared" si="5"/>
        <v>0</v>
      </c>
      <c r="G711" s="91"/>
    </row>
    <row r="712" spans="1:7" s="277" customFormat="1" ht="12.75">
      <c r="A712" s="119"/>
      <c r="B712" s="71" t="s">
        <v>2686</v>
      </c>
      <c r="C712" s="2"/>
      <c r="D712" s="332"/>
      <c r="E712" s="425"/>
      <c r="F712" s="466">
        <f t="shared" si="5"/>
        <v>0</v>
      </c>
      <c r="G712" s="91"/>
    </row>
    <row r="713" spans="1:7" s="277" customFormat="1" ht="12.75">
      <c r="A713" s="119"/>
      <c r="B713" s="132" t="s">
        <v>2633</v>
      </c>
      <c r="C713" s="2"/>
      <c r="D713" s="332"/>
      <c r="E713" s="425"/>
      <c r="F713" s="466">
        <f t="shared" si="5"/>
        <v>0</v>
      </c>
      <c r="G713" s="91"/>
    </row>
    <row r="714" spans="1:7" s="277" customFormat="1" ht="12.75">
      <c r="A714" s="119"/>
      <c r="B714" s="84" t="s">
        <v>2548</v>
      </c>
      <c r="C714" s="2"/>
      <c r="D714" s="332"/>
      <c r="E714" s="425"/>
      <c r="F714" s="466">
        <f t="shared" si="5"/>
        <v>0</v>
      </c>
      <c r="G714" s="91"/>
    </row>
    <row r="715" spans="1:7" s="277" customFormat="1" ht="12.75">
      <c r="A715" s="119"/>
      <c r="B715" s="84"/>
      <c r="C715" s="2"/>
      <c r="D715" s="332"/>
      <c r="E715" s="425"/>
      <c r="F715" s="466">
        <f t="shared" si="5"/>
        <v>0</v>
      </c>
      <c r="G715" s="91"/>
    </row>
    <row r="716" spans="1:7" s="277" customFormat="1" ht="12.75">
      <c r="A716" s="119"/>
      <c r="B716" s="84" t="s">
        <v>2630</v>
      </c>
      <c r="C716" s="2"/>
      <c r="D716" s="332"/>
      <c r="E716" s="425"/>
      <c r="F716" s="466">
        <f t="shared" si="5"/>
        <v>0</v>
      </c>
      <c r="G716" s="91"/>
    </row>
    <row r="717" spans="1:7" s="277" customFormat="1" ht="12.75">
      <c r="A717" s="131"/>
      <c r="B717" s="84" t="s">
        <v>2537</v>
      </c>
      <c r="C717" s="2" t="s">
        <v>1561</v>
      </c>
      <c r="D717" s="332">
        <v>1</v>
      </c>
      <c r="E717" s="465">
        <f>E708</f>
        <v>2632.124295395525</v>
      </c>
      <c r="F717" s="466">
        <f t="shared" si="5"/>
        <v>2632.124295395525</v>
      </c>
      <c r="G717" s="91"/>
    </row>
    <row r="718" spans="1:7" s="277" customFormat="1" ht="12.75">
      <c r="A718" s="127"/>
      <c r="B718" s="84"/>
      <c r="C718" s="2"/>
      <c r="D718" s="332"/>
      <c r="E718" s="425"/>
      <c r="F718" s="466">
        <f t="shared" si="5"/>
        <v>0</v>
      </c>
      <c r="G718" s="91"/>
    </row>
    <row r="719" spans="1:7" s="277" customFormat="1" ht="12.75">
      <c r="A719" s="145" t="s">
        <v>292</v>
      </c>
      <c r="B719" s="84" t="s">
        <v>1994</v>
      </c>
      <c r="C719" s="2"/>
      <c r="D719" s="332"/>
      <c r="E719" s="425"/>
      <c r="F719" s="466">
        <f t="shared" si="5"/>
        <v>0</v>
      </c>
      <c r="G719" s="91"/>
    </row>
    <row r="720" spans="1:7" s="277" customFormat="1" ht="12.75">
      <c r="A720" s="119"/>
      <c r="B720" s="84"/>
      <c r="C720" s="2"/>
      <c r="D720" s="332"/>
      <c r="E720" s="425"/>
      <c r="F720" s="466">
        <f t="shared" si="5"/>
        <v>0</v>
      </c>
      <c r="G720" s="91"/>
    </row>
    <row r="721" spans="1:7" s="277" customFormat="1" ht="12.75">
      <c r="A721" s="131"/>
      <c r="B721" s="84" t="s">
        <v>2686</v>
      </c>
      <c r="C721" s="2"/>
      <c r="D721" s="332"/>
      <c r="E721" s="425"/>
      <c r="F721" s="466">
        <f t="shared" si="5"/>
        <v>0</v>
      </c>
      <c r="G721" s="91"/>
    </row>
    <row r="722" spans="1:7" s="277" customFormat="1" ht="12.75">
      <c r="A722" s="127"/>
      <c r="B722" s="84" t="s">
        <v>2633</v>
      </c>
      <c r="C722" s="2"/>
      <c r="D722" s="332"/>
      <c r="E722" s="425"/>
      <c r="F722" s="466">
        <f t="shared" si="5"/>
        <v>0</v>
      </c>
      <c r="G722" s="91"/>
    </row>
    <row r="723" spans="1:7" s="277" customFormat="1" ht="12.75">
      <c r="A723" s="119"/>
      <c r="B723" s="84" t="s">
        <v>2548</v>
      </c>
      <c r="C723" s="2"/>
      <c r="D723" s="332"/>
      <c r="E723" s="425"/>
      <c r="F723" s="466">
        <f t="shared" si="5"/>
        <v>0</v>
      </c>
      <c r="G723" s="91"/>
    </row>
    <row r="724" spans="1:7" s="277" customFormat="1" ht="12.75">
      <c r="A724" s="119"/>
      <c r="B724" s="84"/>
      <c r="C724" s="2"/>
      <c r="D724" s="332"/>
      <c r="E724" s="425"/>
      <c r="F724" s="466">
        <f t="shared" si="5"/>
        <v>0</v>
      </c>
      <c r="G724" s="91"/>
    </row>
    <row r="725" spans="1:7" s="277" customFormat="1" ht="12.75">
      <c r="A725" s="119"/>
      <c r="B725" s="71" t="s">
        <v>2630</v>
      </c>
      <c r="C725" s="2"/>
      <c r="D725" s="332"/>
      <c r="E725" s="425"/>
      <c r="F725" s="466">
        <f t="shared" si="5"/>
        <v>0</v>
      </c>
      <c r="G725" s="91"/>
    </row>
    <row r="726" spans="1:7" s="277" customFormat="1" ht="12.75">
      <c r="A726" s="119"/>
      <c r="B726" s="132" t="s">
        <v>2537</v>
      </c>
      <c r="C726" s="2" t="s">
        <v>1561</v>
      </c>
      <c r="D726" s="332">
        <v>1</v>
      </c>
      <c r="E726" s="465">
        <f>E717</f>
        <v>2632.124295395525</v>
      </c>
      <c r="F726" s="466">
        <f t="shared" si="5"/>
        <v>2632.124295395525</v>
      </c>
      <c r="G726" s="91"/>
    </row>
    <row r="727" spans="1:7" s="277" customFormat="1" ht="12.75">
      <c r="A727" s="119"/>
      <c r="B727" s="84"/>
      <c r="C727" s="2"/>
      <c r="D727" s="332"/>
      <c r="E727" s="425"/>
      <c r="F727" s="466">
        <f t="shared" si="5"/>
        <v>0</v>
      </c>
      <c r="G727" s="91"/>
    </row>
    <row r="728" spans="1:7" s="277" customFormat="1" ht="12.75">
      <c r="A728" s="119" t="s">
        <v>1874</v>
      </c>
      <c r="B728" s="84" t="s">
        <v>1995</v>
      </c>
      <c r="C728" s="2"/>
      <c r="D728" s="332"/>
      <c r="E728" s="425"/>
      <c r="F728" s="466">
        <f t="shared" si="5"/>
        <v>0</v>
      </c>
      <c r="G728" s="91"/>
    </row>
    <row r="729" spans="1:7" s="277" customFormat="1" ht="12.75">
      <c r="A729" s="119"/>
      <c r="B729" s="84"/>
      <c r="C729" s="2"/>
      <c r="D729" s="332"/>
      <c r="E729" s="425"/>
      <c r="F729" s="466">
        <f t="shared" si="5"/>
        <v>0</v>
      </c>
      <c r="G729" s="91"/>
    </row>
    <row r="730" spans="1:7" s="277" customFormat="1" ht="12.75">
      <c r="A730" s="131"/>
      <c r="B730" s="84" t="s">
        <v>2686</v>
      </c>
      <c r="C730" s="2"/>
      <c r="D730" s="332"/>
      <c r="E730" s="425"/>
      <c r="F730" s="466">
        <f t="shared" si="5"/>
        <v>0</v>
      </c>
      <c r="G730" s="91"/>
    </row>
    <row r="731" spans="1:7" s="277" customFormat="1" ht="12.75">
      <c r="A731" s="127"/>
      <c r="B731" s="84" t="s">
        <v>2633</v>
      </c>
      <c r="C731" s="2"/>
      <c r="D731" s="332"/>
      <c r="E731" s="425"/>
      <c r="F731" s="466">
        <f t="shared" si="5"/>
        <v>0</v>
      </c>
      <c r="G731" s="91"/>
    </row>
    <row r="732" spans="1:7" s="277" customFormat="1" ht="12.75">
      <c r="A732" s="119"/>
      <c r="B732" s="84" t="s">
        <v>2548</v>
      </c>
      <c r="C732" s="2"/>
      <c r="D732" s="332"/>
      <c r="E732" s="425"/>
      <c r="F732" s="466">
        <f t="shared" si="5"/>
        <v>0</v>
      </c>
      <c r="G732" s="91"/>
    </row>
    <row r="733" spans="1:7" s="277" customFormat="1" ht="12.75">
      <c r="A733" s="119"/>
      <c r="B733" s="84"/>
      <c r="C733" s="2"/>
      <c r="D733" s="332"/>
      <c r="E733" s="425"/>
      <c r="F733" s="466">
        <f t="shared" si="5"/>
        <v>0</v>
      </c>
      <c r="G733" s="91"/>
    </row>
    <row r="734" spans="1:7" s="277" customFormat="1" ht="12.75">
      <c r="A734" s="131"/>
      <c r="B734" s="84" t="s">
        <v>2630</v>
      </c>
      <c r="C734" s="2"/>
      <c r="D734" s="332"/>
      <c r="E734" s="425"/>
      <c r="F734" s="466">
        <f t="shared" si="5"/>
        <v>0</v>
      </c>
      <c r="G734" s="91"/>
    </row>
    <row r="735" spans="1:7" s="277" customFormat="1" ht="12.75">
      <c r="A735" s="127"/>
      <c r="B735" s="84" t="s">
        <v>2537</v>
      </c>
      <c r="C735" s="2" t="s">
        <v>1561</v>
      </c>
      <c r="D735" s="332">
        <v>1</v>
      </c>
      <c r="E735" s="465">
        <f>E726</f>
        <v>2632.124295395525</v>
      </c>
      <c r="F735" s="466">
        <f t="shared" si="5"/>
        <v>2632.124295395525</v>
      </c>
      <c r="G735" s="91"/>
    </row>
    <row r="736" spans="1:7" s="277" customFormat="1" ht="12.75">
      <c r="A736" s="119"/>
      <c r="B736" s="84"/>
      <c r="C736" s="2"/>
      <c r="D736" s="332"/>
      <c r="E736" s="425"/>
      <c r="F736" s="466">
        <f t="shared" si="5"/>
        <v>0</v>
      </c>
      <c r="G736" s="91"/>
    </row>
    <row r="737" spans="1:7" s="277" customFormat="1" ht="12.75">
      <c r="A737" s="127" t="s">
        <v>1875</v>
      </c>
      <c r="B737" s="84" t="s">
        <v>1448</v>
      </c>
      <c r="C737" s="2"/>
      <c r="D737" s="332"/>
      <c r="E737" s="425"/>
      <c r="F737" s="466">
        <f t="shared" si="5"/>
        <v>0</v>
      </c>
      <c r="G737" s="91"/>
    </row>
    <row r="738" spans="1:7" s="277" customFormat="1" ht="12.75">
      <c r="A738" s="119"/>
      <c r="B738" s="84"/>
      <c r="C738" s="2"/>
      <c r="D738" s="332"/>
      <c r="E738" s="425"/>
      <c r="F738" s="466">
        <f t="shared" si="5"/>
        <v>0</v>
      </c>
      <c r="G738" s="91"/>
    </row>
    <row r="739" spans="1:7" s="277" customFormat="1" ht="12.75">
      <c r="A739" s="119"/>
      <c r="B739" s="84" t="s">
        <v>2686</v>
      </c>
      <c r="C739" s="2"/>
      <c r="D739" s="332"/>
      <c r="E739" s="425"/>
      <c r="F739" s="466">
        <f t="shared" si="5"/>
        <v>0</v>
      </c>
      <c r="G739" s="91"/>
    </row>
    <row r="740" spans="1:7" s="277" customFormat="1" ht="12.75">
      <c r="A740" s="119"/>
      <c r="B740" s="71" t="s">
        <v>117</v>
      </c>
      <c r="C740" s="2"/>
      <c r="D740" s="332"/>
      <c r="E740" s="425"/>
      <c r="F740" s="466">
        <f t="shared" si="5"/>
        <v>0</v>
      </c>
      <c r="G740" s="91"/>
    </row>
    <row r="741" spans="1:7" s="277" customFormat="1" ht="12.75">
      <c r="A741" s="119"/>
      <c r="B741" s="132" t="s">
        <v>2548</v>
      </c>
      <c r="C741" s="2"/>
      <c r="D741" s="332"/>
      <c r="E741" s="425"/>
      <c r="F741" s="466">
        <f t="shared" si="5"/>
        <v>0</v>
      </c>
      <c r="G741" s="91"/>
    </row>
    <row r="742" spans="1:7" s="277" customFormat="1" ht="12.75">
      <c r="A742" s="119"/>
      <c r="B742" s="84"/>
      <c r="C742" s="2"/>
      <c r="D742" s="332"/>
      <c r="E742" s="425"/>
      <c r="F742" s="466">
        <f t="shared" si="5"/>
        <v>0</v>
      </c>
      <c r="G742" s="91"/>
    </row>
    <row r="743" spans="1:7" s="277" customFormat="1" ht="12.75">
      <c r="A743" s="119"/>
      <c r="B743" s="84" t="s">
        <v>2630</v>
      </c>
      <c r="C743" s="2"/>
      <c r="D743" s="332"/>
      <c r="E743" s="425"/>
      <c r="F743" s="466">
        <f t="shared" si="5"/>
        <v>0</v>
      </c>
      <c r="G743" s="91"/>
    </row>
    <row r="744" spans="1:7" s="277" customFormat="1" ht="12.75">
      <c r="A744" s="119"/>
      <c r="B744" s="84" t="s">
        <v>2537</v>
      </c>
      <c r="C744" s="2" t="s">
        <v>1561</v>
      </c>
      <c r="D744" s="332">
        <v>1</v>
      </c>
      <c r="E744" s="465">
        <f>E735</f>
        <v>2632.124295395525</v>
      </c>
      <c r="F744" s="466">
        <f t="shared" si="5"/>
        <v>2632.124295395525</v>
      </c>
      <c r="G744" s="91"/>
    </row>
    <row r="745" spans="1:7" s="277" customFormat="1" ht="12.75">
      <c r="A745" s="131"/>
      <c r="B745" s="84"/>
      <c r="C745" s="2"/>
      <c r="D745" s="332"/>
      <c r="E745" s="425"/>
      <c r="F745" s="466">
        <f t="shared" si="5"/>
        <v>0</v>
      </c>
      <c r="G745" s="91"/>
    </row>
    <row r="746" spans="1:7" s="277" customFormat="1" ht="12.75">
      <c r="A746" s="127" t="s">
        <v>1876</v>
      </c>
      <c r="B746" s="84" t="s">
        <v>1518</v>
      </c>
      <c r="C746" s="2"/>
      <c r="D746" s="332"/>
      <c r="E746" s="425"/>
      <c r="F746" s="466">
        <f t="shared" si="5"/>
        <v>0</v>
      </c>
      <c r="G746" s="91"/>
    </row>
    <row r="747" spans="1:7" s="277" customFormat="1" ht="12.75">
      <c r="A747" s="119"/>
      <c r="B747" s="84"/>
      <c r="C747" s="2"/>
      <c r="D747" s="332"/>
      <c r="E747" s="425"/>
      <c r="F747" s="466">
        <f t="shared" si="5"/>
        <v>0</v>
      </c>
      <c r="G747" s="91"/>
    </row>
    <row r="748" spans="1:7" s="277" customFormat="1" ht="12.75">
      <c r="A748" s="119"/>
      <c r="B748" s="84" t="s">
        <v>2686</v>
      </c>
      <c r="C748" s="2"/>
      <c r="D748" s="332"/>
      <c r="E748" s="425"/>
      <c r="F748" s="466">
        <f t="shared" si="5"/>
        <v>0</v>
      </c>
      <c r="G748" s="91"/>
    </row>
    <row r="749" spans="1:7" s="277" customFormat="1" ht="12.75">
      <c r="A749" s="131"/>
      <c r="B749" s="84" t="s">
        <v>2633</v>
      </c>
      <c r="C749" s="2"/>
      <c r="D749" s="332"/>
      <c r="E749" s="425"/>
      <c r="F749" s="466">
        <f t="shared" si="5"/>
        <v>0</v>
      </c>
      <c r="G749" s="91"/>
    </row>
    <row r="750" spans="1:7" s="277" customFormat="1" ht="12.75">
      <c r="A750" s="127"/>
      <c r="B750" s="84" t="s">
        <v>2548</v>
      </c>
      <c r="C750" s="2"/>
      <c r="D750" s="332"/>
      <c r="E750" s="425"/>
      <c r="F750" s="466">
        <f t="shared" si="5"/>
        <v>0</v>
      </c>
      <c r="G750" s="91"/>
    </row>
    <row r="751" spans="1:7" s="277" customFormat="1" ht="12.75">
      <c r="A751" s="119"/>
      <c r="B751" s="84"/>
      <c r="C751" s="2"/>
      <c r="D751" s="332"/>
      <c r="E751" s="425"/>
      <c r="F751" s="466">
        <f t="shared" si="5"/>
        <v>0</v>
      </c>
      <c r="G751" s="91"/>
    </row>
    <row r="752" spans="1:7" s="277" customFormat="1" ht="12.75">
      <c r="A752" s="119"/>
      <c r="B752" s="84" t="s">
        <v>2630</v>
      </c>
      <c r="C752" s="2"/>
      <c r="D752" s="332"/>
      <c r="E752" s="425"/>
      <c r="F752" s="466">
        <f t="shared" si="5"/>
        <v>0</v>
      </c>
      <c r="G752" s="91"/>
    </row>
    <row r="753" spans="1:7" s="277" customFormat="1" ht="12.75">
      <c r="A753" s="119"/>
      <c r="B753" s="71" t="s">
        <v>2537</v>
      </c>
      <c r="C753" s="2" t="s">
        <v>1561</v>
      </c>
      <c r="D753" s="332">
        <v>1</v>
      </c>
      <c r="E753" s="465">
        <f>E744</f>
        <v>2632.124295395525</v>
      </c>
      <c r="F753" s="466">
        <f t="shared" si="5"/>
        <v>2632.124295395525</v>
      </c>
      <c r="G753" s="91"/>
    </row>
    <row r="754" spans="1:7" s="277" customFormat="1" ht="12.75">
      <c r="A754" s="119"/>
      <c r="B754" s="132"/>
      <c r="C754" s="2"/>
      <c r="D754" s="332"/>
      <c r="E754" s="425"/>
      <c r="F754" s="466">
        <f t="shared" si="5"/>
        <v>0</v>
      </c>
      <c r="G754" s="91"/>
    </row>
    <row r="755" spans="1:7" s="277" customFormat="1" ht="12.75">
      <c r="A755" s="119" t="s">
        <v>1877</v>
      </c>
      <c r="B755" s="84" t="s">
        <v>1519</v>
      </c>
      <c r="C755" s="2"/>
      <c r="D755" s="332"/>
      <c r="E755" s="425"/>
      <c r="F755" s="466">
        <f t="shared" si="5"/>
        <v>0</v>
      </c>
      <c r="G755" s="91"/>
    </row>
    <row r="756" spans="1:7" s="277" customFormat="1" ht="12.75">
      <c r="A756" s="119"/>
      <c r="B756" s="84"/>
      <c r="C756" s="2"/>
      <c r="D756" s="332"/>
      <c r="E756" s="425"/>
      <c r="F756" s="466">
        <f t="shared" si="5"/>
        <v>0</v>
      </c>
      <c r="G756" s="91"/>
    </row>
    <row r="757" spans="1:7" s="277" customFormat="1" ht="12.75">
      <c r="A757" s="119"/>
      <c r="B757" s="84" t="s">
        <v>2686</v>
      </c>
      <c r="C757" s="2"/>
      <c r="D757" s="332"/>
      <c r="E757" s="425"/>
      <c r="F757" s="466">
        <f t="shared" si="5"/>
        <v>0</v>
      </c>
      <c r="G757" s="91"/>
    </row>
    <row r="758" spans="1:7" s="277" customFormat="1" ht="12.75">
      <c r="A758" s="131"/>
      <c r="B758" s="84" t="s">
        <v>2633</v>
      </c>
      <c r="C758" s="2"/>
      <c r="D758" s="332"/>
      <c r="E758" s="425"/>
      <c r="F758" s="466">
        <f t="shared" si="5"/>
        <v>0</v>
      </c>
      <c r="G758" s="91"/>
    </row>
    <row r="759" spans="1:7" s="277" customFormat="1" ht="12.75">
      <c r="A759" s="127"/>
      <c r="B759" s="84" t="s">
        <v>2548</v>
      </c>
      <c r="C759" s="2"/>
      <c r="D759" s="332"/>
      <c r="E759" s="425"/>
      <c r="F759" s="466">
        <f aca="true" t="shared" si="6" ref="F759:F822">D759*E759</f>
        <v>0</v>
      </c>
      <c r="G759" s="91"/>
    </row>
    <row r="760" spans="1:7" s="277" customFormat="1" ht="12.75">
      <c r="A760" s="119"/>
      <c r="B760" s="84"/>
      <c r="C760" s="2"/>
      <c r="D760" s="332"/>
      <c r="E760" s="425"/>
      <c r="F760" s="466">
        <f t="shared" si="6"/>
        <v>0</v>
      </c>
      <c r="G760" s="91"/>
    </row>
    <row r="761" spans="1:7" s="277" customFormat="1" ht="12.75">
      <c r="A761" s="119"/>
      <c r="B761" s="84" t="s">
        <v>2630</v>
      </c>
      <c r="C761" s="2"/>
      <c r="D761" s="332"/>
      <c r="E761" s="425"/>
      <c r="F761" s="466">
        <f t="shared" si="6"/>
        <v>0</v>
      </c>
      <c r="G761" s="91"/>
    </row>
    <row r="762" spans="1:7" s="277" customFormat="1" ht="12.75">
      <c r="A762" s="131"/>
      <c r="B762" s="84" t="s">
        <v>2537</v>
      </c>
      <c r="C762" s="2" t="s">
        <v>1561</v>
      </c>
      <c r="D762" s="332">
        <v>1</v>
      </c>
      <c r="E762" s="465">
        <f>E753</f>
        <v>2632.124295395525</v>
      </c>
      <c r="F762" s="466">
        <f t="shared" si="6"/>
        <v>2632.124295395525</v>
      </c>
      <c r="G762" s="91"/>
    </row>
    <row r="763" spans="1:7" s="277" customFormat="1" ht="12.75">
      <c r="A763" s="127"/>
      <c r="B763" s="84"/>
      <c r="C763" s="2"/>
      <c r="D763" s="332"/>
      <c r="E763" s="425"/>
      <c r="F763" s="466">
        <f t="shared" si="6"/>
        <v>0</v>
      </c>
      <c r="G763" s="91"/>
    </row>
    <row r="764" spans="1:7" s="277" customFormat="1" ht="12.75">
      <c r="A764" s="119" t="s">
        <v>1878</v>
      </c>
      <c r="B764" s="84" t="s">
        <v>1520</v>
      </c>
      <c r="C764" s="2"/>
      <c r="D764" s="332"/>
      <c r="E764" s="425"/>
      <c r="F764" s="466">
        <f t="shared" si="6"/>
        <v>0</v>
      </c>
      <c r="G764" s="91"/>
    </row>
    <row r="765" spans="1:7" s="277" customFormat="1" ht="12.75">
      <c r="A765" s="119"/>
      <c r="B765" s="84"/>
      <c r="C765" s="2"/>
      <c r="D765" s="332"/>
      <c r="E765" s="425"/>
      <c r="F765" s="466">
        <f t="shared" si="6"/>
        <v>0</v>
      </c>
      <c r="G765" s="91"/>
    </row>
    <row r="766" spans="1:7" s="277" customFormat="1" ht="12.75">
      <c r="A766" s="119"/>
      <c r="B766" s="71" t="s">
        <v>2686</v>
      </c>
      <c r="C766" s="2"/>
      <c r="D766" s="332"/>
      <c r="E766" s="425"/>
      <c r="F766" s="466">
        <f t="shared" si="6"/>
        <v>0</v>
      </c>
      <c r="G766" s="91"/>
    </row>
    <row r="767" spans="1:7" s="277" customFormat="1" ht="12.75">
      <c r="A767" s="119"/>
      <c r="B767" s="132" t="s">
        <v>2633</v>
      </c>
      <c r="C767" s="2"/>
      <c r="D767" s="332"/>
      <c r="E767" s="425"/>
      <c r="F767" s="466">
        <f t="shared" si="6"/>
        <v>0</v>
      </c>
      <c r="G767" s="91"/>
    </row>
    <row r="768" spans="1:7" s="277" customFormat="1" ht="12.75">
      <c r="A768" s="119"/>
      <c r="B768" s="84" t="s">
        <v>2548</v>
      </c>
      <c r="C768" s="2"/>
      <c r="D768" s="332"/>
      <c r="E768" s="425"/>
      <c r="F768" s="466">
        <f t="shared" si="6"/>
        <v>0</v>
      </c>
      <c r="G768" s="91"/>
    </row>
    <row r="769" spans="1:7" s="277" customFormat="1" ht="12.75">
      <c r="A769" s="119"/>
      <c r="B769" s="84"/>
      <c r="C769" s="2"/>
      <c r="D769" s="332"/>
      <c r="E769" s="425"/>
      <c r="F769" s="466">
        <f t="shared" si="6"/>
        <v>0</v>
      </c>
      <c r="G769" s="91"/>
    </row>
    <row r="770" spans="1:7" s="277" customFormat="1" ht="12.75">
      <c r="A770" s="119"/>
      <c r="B770" s="84" t="s">
        <v>2630</v>
      </c>
      <c r="C770" s="2"/>
      <c r="D770" s="332"/>
      <c r="E770" s="425"/>
      <c r="F770" s="466">
        <f t="shared" si="6"/>
        <v>0</v>
      </c>
      <c r="G770" s="91"/>
    </row>
    <row r="771" spans="1:7" s="277" customFormat="1" ht="12.75">
      <c r="A771" s="131"/>
      <c r="B771" s="84" t="s">
        <v>2537</v>
      </c>
      <c r="C771" s="2" t="s">
        <v>1561</v>
      </c>
      <c r="D771" s="332">
        <v>1</v>
      </c>
      <c r="E771" s="465">
        <f>E762</f>
        <v>2632.124295395525</v>
      </c>
      <c r="F771" s="466">
        <f t="shared" si="6"/>
        <v>2632.124295395525</v>
      </c>
      <c r="G771" s="91"/>
    </row>
    <row r="772" spans="1:7" s="277" customFormat="1" ht="12.75">
      <c r="A772" s="119"/>
      <c r="B772" s="84"/>
      <c r="C772" s="2"/>
      <c r="D772" s="332"/>
      <c r="E772" s="425"/>
      <c r="F772" s="466">
        <f t="shared" si="6"/>
        <v>0</v>
      </c>
      <c r="G772" s="91"/>
    </row>
    <row r="773" spans="1:7" s="277" customFormat="1" ht="12.75">
      <c r="A773" s="119" t="s">
        <v>1879</v>
      </c>
      <c r="B773" s="84" t="s">
        <v>1521</v>
      </c>
      <c r="C773" s="2"/>
      <c r="D773" s="332"/>
      <c r="E773" s="425"/>
      <c r="F773" s="466">
        <f t="shared" si="6"/>
        <v>0</v>
      </c>
      <c r="G773" s="91"/>
    </row>
    <row r="774" spans="1:7" s="277" customFormat="1" ht="12.75">
      <c r="A774" s="127"/>
      <c r="B774" s="84"/>
      <c r="C774" s="2"/>
      <c r="D774" s="332"/>
      <c r="E774" s="425"/>
      <c r="F774" s="466">
        <f t="shared" si="6"/>
        <v>0</v>
      </c>
      <c r="G774" s="91"/>
    </row>
    <row r="775" spans="1:7" s="277" customFormat="1" ht="12.75">
      <c r="A775" s="119"/>
      <c r="B775" s="84" t="s">
        <v>2686</v>
      </c>
      <c r="C775" s="2"/>
      <c r="D775" s="332"/>
      <c r="E775" s="425"/>
      <c r="F775" s="466">
        <f t="shared" si="6"/>
        <v>0</v>
      </c>
      <c r="G775" s="91"/>
    </row>
    <row r="776" spans="1:7" s="277" customFormat="1" ht="12.75">
      <c r="A776" s="119"/>
      <c r="B776" s="84" t="s">
        <v>2633</v>
      </c>
      <c r="C776" s="2"/>
      <c r="D776" s="332"/>
      <c r="E776" s="425"/>
      <c r="F776" s="466">
        <f t="shared" si="6"/>
        <v>0</v>
      </c>
      <c r="G776" s="91"/>
    </row>
    <row r="777" spans="1:7" s="277" customFormat="1" ht="12.75">
      <c r="A777" s="131"/>
      <c r="B777" s="84" t="s">
        <v>2548</v>
      </c>
      <c r="C777" s="2"/>
      <c r="D777" s="332"/>
      <c r="E777" s="425"/>
      <c r="F777" s="466">
        <f t="shared" si="6"/>
        <v>0</v>
      </c>
      <c r="G777" s="91"/>
    </row>
    <row r="778" spans="1:7" s="277" customFormat="1" ht="12.75">
      <c r="A778" s="127"/>
      <c r="B778" s="84"/>
      <c r="C778" s="2"/>
      <c r="D778" s="332"/>
      <c r="E778" s="425"/>
      <c r="F778" s="466">
        <f t="shared" si="6"/>
        <v>0</v>
      </c>
      <c r="G778" s="91"/>
    </row>
    <row r="779" spans="1:7" s="277" customFormat="1" ht="12.75">
      <c r="A779" s="119"/>
      <c r="B779" s="84" t="s">
        <v>2630</v>
      </c>
      <c r="C779" s="2"/>
      <c r="D779" s="332"/>
      <c r="E779" s="425"/>
      <c r="F779" s="466">
        <f t="shared" si="6"/>
        <v>0</v>
      </c>
      <c r="G779" s="91"/>
    </row>
    <row r="780" spans="1:7" s="277" customFormat="1" ht="12.75">
      <c r="A780" s="119"/>
      <c r="B780" s="84" t="s">
        <v>2537</v>
      </c>
      <c r="C780" s="2" t="s">
        <v>1561</v>
      </c>
      <c r="D780" s="332">
        <v>1</v>
      </c>
      <c r="E780" s="465">
        <f>E771</f>
        <v>2632.124295395525</v>
      </c>
      <c r="F780" s="466">
        <f t="shared" si="6"/>
        <v>2632.124295395525</v>
      </c>
      <c r="G780" s="91"/>
    </row>
    <row r="781" spans="1:7" s="277" customFormat="1" ht="12.75">
      <c r="A781" s="119"/>
      <c r="B781" s="71"/>
      <c r="C781" s="2"/>
      <c r="D781" s="332"/>
      <c r="E781" s="425"/>
      <c r="F781" s="466">
        <f t="shared" si="6"/>
        <v>0</v>
      </c>
      <c r="G781" s="91"/>
    </row>
    <row r="782" spans="1:7" s="277" customFormat="1" ht="12.75">
      <c r="A782" s="119" t="s">
        <v>1880</v>
      </c>
      <c r="B782" s="132" t="s">
        <v>1522</v>
      </c>
      <c r="C782" s="2"/>
      <c r="D782" s="332"/>
      <c r="E782" s="425"/>
      <c r="F782" s="466">
        <f t="shared" si="6"/>
        <v>0</v>
      </c>
      <c r="G782" s="91"/>
    </row>
    <row r="783" spans="1:7" s="277" customFormat="1" ht="12.75">
      <c r="A783" s="119"/>
      <c r="B783" s="84"/>
      <c r="C783" s="2"/>
      <c r="D783" s="332"/>
      <c r="E783" s="425"/>
      <c r="F783" s="466">
        <f t="shared" si="6"/>
        <v>0</v>
      </c>
      <c r="G783" s="91"/>
    </row>
    <row r="784" spans="1:7" s="277" customFormat="1" ht="12.75">
      <c r="A784" s="119"/>
      <c r="B784" s="84" t="s">
        <v>2686</v>
      </c>
      <c r="C784" s="2"/>
      <c r="D784" s="332"/>
      <c r="E784" s="425"/>
      <c r="F784" s="466">
        <f t="shared" si="6"/>
        <v>0</v>
      </c>
      <c r="G784" s="91"/>
    </row>
    <row r="785" spans="1:7" s="277" customFormat="1" ht="12.75">
      <c r="A785" s="119"/>
      <c r="B785" s="84" t="s">
        <v>2633</v>
      </c>
      <c r="C785" s="2"/>
      <c r="D785" s="332"/>
      <c r="E785" s="425"/>
      <c r="F785" s="466">
        <f t="shared" si="6"/>
        <v>0</v>
      </c>
      <c r="G785" s="91"/>
    </row>
    <row r="786" spans="1:7" s="277" customFormat="1" ht="12.75">
      <c r="A786" s="131"/>
      <c r="B786" s="84" t="s">
        <v>2548</v>
      </c>
      <c r="C786" s="2"/>
      <c r="D786" s="332"/>
      <c r="E786" s="425"/>
      <c r="F786" s="466">
        <f t="shared" si="6"/>
        <v>0</v>
      </c>
      <c r="G786" s="91"/>
    </row>
    <row r="787" spans="1:7" s="277" customFormat="1" ht="12.75">
      <c r="A787" s="127"/>
      <c r="B787" s="84"/>
      <c r="C787" s="2"/>
      <c r="D787" s="332"/>
      <c r="E787" s="425"/>
      <c r="F787" s="466">
        <f t="shared" si="6"/>
        <v>0</v>
      </c>
      <c r="G787" s="91"/>
    </row>
    <row r="788" spans="1:7" s="277" customFormat="1" ht="12.75">
      <c r="A788" s="119"/>
      <c r="B788" s="84" t="s">
        <v>2630</v>
      </c>
      <c r="C788" s="2"/>
      <c r="D788" s="332"/>
      <c r="E788" s="425"/>
      <c r="F788" s="466">
        <f t="shared" si="6"/>
        <v>0</v>
      </c>
      <c r="G788" s="91"/>
    </row>
    <row r="789" spans="1:7" s="277" customFormat="1" ht="12.75">
      <c r="A789" s="119"/>
      <c r="B789" s="84" t="s">
        <v>2537</v>
      </c>
      <c r="C789" s="2" t="s">
        <v>1561</v>
      </c>
      <c r="D789" s="332">
        <v>1</v>
      </c>
      <c r="E789" s="465">
        <f>E780</f>
        <v>2632.124295395525</v>
      </c>
      <c r="F789" s="466">
        <f t="shared" si="6"/>
        <v>2632.124295395525</v>
      </c>
      <c r="G789" s="91"/>
    </row>
    <row r="790" spans="1:7" s="277" customFormat="1" ht="12.75">
      <c r="A790" s="131"/>
      <c r="B790" s="84"/>
      <c r="C790" s="2"/>
      <c r="D790" s="332"/>
      <c r="E790" s="425"/>
      <c r="F790" s="466">
        <f t="shared" si="6"/>
        <v>0</v>
      </c>
      <c r="G790" s="91"/>
    </row>
    <row r="791" spans="1:7" s="277" customFormat="1" ht="12.75">
      <c r="A791" s="127" t="s">
        <v>1881</v>
      </c>
      <c r="B791" s="84" t="s">
        <v>1523</v>
      </c>
      <c r="C791" s="2"/>
      <c r="D791" s="332"/>
      <c r="E791" s="425"/>
      <c r="F791" s="466">
        <f t="shared" si="6"/>
        <v>0</v>
      </c>
      <c r="G791" s="91"/>
    </row>
    <row r="792" spans="1:7" s="277" customFormat="1" ht="12.75">
      <c r="A792" s="119"/>
      <c r="B792" s="84"/>
      <c r="C792" s="2"/>
      <c r="D792" s="332"/>
      <c r="E792" s="425"/>
      <c r="F792" s="466">
        <f t="shared" si="6"/>
        <v>0</v>
      </c>
      <c r="G792" s="91"/>
    </row>
    <row r="793" spans="1:7" s="277" customFormat="1" ht="12.75">
      <c r="A793" s="119"/>
      <c r="B793" s="84" t="s">
        <v>2686</v>
      </c>
      <c r="C793" s="2"/>
      <c r="D793" s="332"/>
      <c r="E793" s="425"/>
      <c r="F793" s="466">
        <f t="shared" si="6"/>
        <v>0</v>
      </c>
      <c r="G793" s="91"/>
    </row>
    <row r="794" spans="1:7" s="277" customFormat="1" ht="12.75">
      <c r="A794" s="119"/>
      <c r="B794" s="71" t="s">
        <v>2633</v>
      </c>
      <c r="C794" s="2"/>
      <c r="D794" s="332"/>
      <c r="E794" s="425"/>
      <c r="F794" s="466">
        <f t="shared" si="6"/>
        <v>0</v>
      </c>
      <c r="G794" s="91"/>
    </row>
    <row r="795" spans="1:7" s="277" customFormat="1" ht="12.75">
      <c r="A795" s="119"/>
      <c r="B795" s="132" t="s">
        <v>2548</v>
      </c>
      <c r="C795" s="2"/>
      <c r="D795" s="332"/>
      <c r="E795" s="425"/>
      <c r="F795" s="466">
        <f t="shared" si="6"/>
        <v>0</v>
      </c>
      <c r="G795" s="91"/>
    </row>
    <row r="796" spans="1:7" s="277" customFormat="1" ht="12.75">
      <c r="A796" s="119"/>
      <c r="B796" s="84"/>
      <c r="C796" s="2"/>
      <c r="D796" s="332"/>
      <c r="E796" s="425"/>
      <c r="F796" s="466">
        <f t="shared" si="6"/>
        <v>0</v>
      </c>
      <c r="G796" s="91"/>
    </row>
    <row r="797" spans="1:7" s="277" customFormat="1" ht="12.75">
      <c r="A797" s="119"/>
      <c r="B797" s="84" t="s">
        <v>2630</v>
      </c>
      <c r="C797" s="2"/>
      <c r="D797" s="332"/>
      <c r="E797" s="425"/>
      <c r="F797" s="466">
        <f t="shared" si="6"/>
        <v>0</v>
      </c>
      <c r="G797" s="91"/>
    </row>
    <row r="798" spans="1:7" s="277" customFormat="1" ht="12.75">
      <c r="A798" s="119"/>
      <c r="B798" s="84" t="s">
        <v>2537</v>
      </c>
      <c r="C798" s="2" t="s">
        <v>1561</v>
      </c>
      <c r="D798" s="332">
        <v>1</v>
      </c>
      <c r="E798" s="465">
        <f>E789</f>
        <v>2632.124295395525</v>
      </c>
      <c r="F798" s="466">
        <f t="shared" si="6"/>
        <v>2632.124295395525</v>
      </c>
      <c r="G798" s="91"/>
    </row>
    <row r="799" spans="1:7" s="277" customFormat="1" ht="12.75">
      <c r="A799" s="131"/>
      <c r="B799" s="84"/>
      <c r="C799" s="2"/>
      <c r="D799" s="332"/>
      <c r="E799" s="425"/>
      <c r="F799" s="466">
        <f t="shared" si="6"/>
        <v>0</v>
      </c>
      <c r="G799" s="91"/>
    </row>
    <row r="800" spans="1:7" s="277" customFormat="1" ht="12.75">
      <c r="A800" s="127"/>
      <c r="B800" s="84" t="s">
        <v>1882</v>
      </c>
      <c r="C800" s="2"/>
      <c r="D800" s="332"/>
      <c r="E800" s="425"/>
      <c r="F800" s="466">
        <f t="shared" si="6"/>
        <v>0</v>
      </c>
      <c r="G800" s="91"/>
    </row>
    <row r="801" spans="1:7" s="277" customFormat="1" ht="12.75">
      <c r="A801" s="119"/>
      <c r="B801" s="84"/>
      <c r="C801" s="2"/>
      <c r="D801" s="332"/>
      <c r="E801" s="425"/>
      <c r="F801" s="466">
        <f t="shared" si="6"/>
        <v>0</v>
      </c>
      <c r="G801" s="91"/>
    </row>
    <row r="802" spans="1:7" s="277" customFormat="1" ht="12.75">
      <c r="A802" s="119" t="s">
        <v>1883</v>
      </c>
      <c r="B802" s="84" t="s">
        <v>1524</v>
      </c>
      <c r="C802" s="2"/>
      <c r="D802" s="332"/>
      <c r="E802" s="425"/>
      <c r="F802" s="466">
        <f t="shared" si="6"/>
        <v>0</v>
      </c>
      <c r="G802" s="91"/>
    </row>
    <row r="803" spans="1:7" s="277" customFormat="1" ht="14.25">
      <c r="A803" s="131"/>
      <c r="B803" s="84" t="s">
        <v>1525</v>
      </c>
      <c r="C803" s="2" t="s">
        <v>1561</v>
      </c>
      <c r="D803" s="332">
        <v>514</v>
      </c>
      <c r="E803" s="465">
        <f>'Cost break dow.'!V787</f>
        <v>238.74125688437496</v>
      </c>
      <c r="F803" s="466">
        <f t="shared" si="6"/>
        <v>122713.00603856872</v>
      </c>
      <c r="G803" s="91"/>
    </row>
    <row r="804" spans="1:7" s="277" customFormat="1" ht="12.75">
      <c r="A804" s="127"/>
      <c r="B804" s="84"/>
      <c r="C804" s="2"/>
      <c r="D804" s="332"/>
      <c r="E804" s="425"/>
      <c r="F804" s="466">
        <f t="shared" si="6"/>
        <v>0</v>
      </c>
      <c r="G804" s="91"/>
    </row>
    <row r="805" spans="1:7" s="277" customFormat="1" ht="12.75">
      <c r="A805" s="119"/>
      <c r="B805" s="109" t="s">
        <v>1884</v>
      </c>
      <c r="C805" s="2"/>
      <c r="D805" s="332"/>
      <c r="E805" s="425"/>
      <c r="F805" s="466">
        <f t="shared" si="6"/>
        <v>0</v>
      </c>
      <c r="G805" s="91"/>
    </row>
    <row r="806" spans="1:7" s="277" customFormat="1" ht="12.75">
      <c r="A806" s="119"/>
      <c r="B806" s="84"/>
      <c r="C806" s="2"/>
      <c r="D806" s="332"/>
      <c r="E806" s="425"/>
      <c r="F806" s="466">
        <f t="shared" si="6"/>
        <v>0</v>
      </c>
      <c r="G806" s="91"/>
    </row>
    <row r="807" spans="1:7" s="277" customFormat="1" ht="12.75">
      <c r="A807" s="119"/>
      <c r="B807" s="71" t="s">
        <v>1526</v>
      </c>
      <c r="C807" s="2"/>
      <c r="D807" s="332"/>
      <c r="E807" s="425"/>
      <c r="F807" s="466">
        <f t="shared" si="6"/>
        <v>0</v>
      </c>
      <c r="G807" s="91"/>
    </row>
    <row r="808" spans="1:7" s="277" customFormat="1" ht="25.5">
      <c r="A808" s="119"/>
      <c r="B808" s="132" t="s">
        <v>3100</v>
      </c>
      <c r="C808" s="2"/>
      <c r="D808" s="332"/>
      <c r="E808" s="425"/>
      <c r="F808" s="466">
        <f t="shared" si="6"/>
        <v>0</v>
      </c>
      <c r="G808" s="91"/>
    </row>
    <row r="809" spans="1:7" s="277" customFormat="1" ht="12.75">
      <c r="A809" s="119" t="s">
        <v>1885</v>
      </c>
      <c r="B809" s="84" t="s">
        <v>3101</v>
      </c>
      <c r="C809" s="2" t="s">
        <v>1561</v>
      </c>
      <c r="D809" s="332">
        <v>53</v>
      </c>
      <c r="E809" s="465">
        <f>'Cost break dow.'!V809</f>
        <v>0</v>
      </c>
      <c r="F809" s="466">
        <f t="shared" si="6"/>
        <v>0</v>
      </c>
      <c r="G809" s="91"/>
    </row>
    <row r="810" spans="1:7" s="277" customFormat="1" ht="12.75">
      <c r="A810" s="119"/>
      <c r="B810" s="84"/>
      <c r="C810" s="2"/>
      <c r="D810" s="332"/>
      <c r="E810" s="425"/>
      <c r="F810" s="466">
        <f t="shared" si="6"/>
        <v>0</v>
      </c>
      <c r="G810" s="91"/>
    </row>
    <row r="811" spans="1:7" s="277" customFormat="1" ht="12.75">
      <c r="A811" s="119" t="s">
        <v>1886</v>
      </c>
      <c r="B811" s="84" t="s">
        <v>2553</v>
      </c>
      <c r="C811" s="2" t="s">
        <v>1561</v>
      </c>
      <c r="D811" s="332">
        <v>58</v>
      </c>
      <c r="E811" s="465">
        <f>'Cost break dow.'!V814</f>
        <v>0</v>
      </c>
      <c r="F811" s="466">
        <f t="shared" si="6"/>
        <v>0</v>
      </c>
      <c r="G811" s="91"/>
    </row>
    <row r="812" spans="1:7" s="277" customFormat="1" ht="12.75">
      <c r="A812" s="131"/>
      <c r="B812" s="84"/>
      <c r="C812" s="2"/>
      <c r="D812" s="332"/>
      <c r="E812" s="425"/>
      <c r="F812" s="466">
        <f t="shared" si="6"/>
        <v>0</v>
      </c>
      <c r="G812" s="91"/>
    </row>
    <row r="813" spans="1:7" s="277" customFormat="1" ht="12.75">
      <c r="A813" s="127" t="s">
        <v>1887</v>
      </c>
      <c r="B813" s="84" t="s">
        <v>2554</v>
      </c>
      <c r="C813" s="2" t="s">
        <v>1561</v>
      </c>
      <c r="D813" s="332">
        <v>4</v>
      </c>
      <c r="E813" s="465">
        <f>'Cost break dow.'!V824</f>
        <v>0</v>
      </c>
      <c r="F813" s="466">
        <f t="shared" si="6"/>
        <v>0</v>
      </c>
      <c r="G813" s="91"/>
    </row>
    <row r="814" spans="1:7" s="277" customFormat="1" ht="12.75">
      <c r="A814" s="119"/>
      <c r="B814" s="84"/>
      <c r="C814" s="2"/>
      <c r="D814" s="332"/>
      <c r="E814" s="425"/>
      <c r="F814" s="466">
        <f t="shared" si="6"/>
        <v>0</v>
      </c>
      <c r="G814" s="91"/>
    </row>
    <row r="815" spans="1:7" s="277" customFormat="1" ht="12.75">
      <c r="A815" s="119" t="s">
        <v>1888</v>
      </c>
      <c r="B815" s="71" t="s">
        <v>2555</v>
      </c>
      <c r="C815" s="2" t="s">
        <v>1561</v>
      </c>
      <c r="D815" s="332">
        <v>2</v>
      </c>
      <c r="E815" s="465">
        <f>'Cost break dow.'!V829</f>
        <v>0</v>
      </c>
      <c r="F815" s="466">
        <f t="shared" si="6"/>
        <v>0</v>
      </c>
      <c r="G815" s="91"/>
    </row>
    <row r="816" spans="1:7" s="277" customFormat="1" ht="12.75">
      <c r="A816" s="119"/>
      <c r="B816" s="132"/>
      <c r="C816" s="2"/>
      <c r="D816" s="332"/>
      <c r="E816" s="425"/>
      <c r="F816" s="466">
        <f t="shared" si="6"/>
        <v>0</v>
      </c>
      <c r="G816" s="91"/>
    </row>
    <row r="817" spans="1:7" s="277" customFormat="1" ht="12.75">
      <c r="A817" s="119" t="s">
        <v>1889</v>
      </c>
      <c r="B817" s="84" t="s">
        <v>3102</v>
      </c>
      <c r="C817" s="2" t="s">
        <v>1561</v>
      </c>
      <c r="D817" s="332">
        <v>6</v>
      </c>
      <c r="E817" s="465">
        <f>'Cost break dow.'!V829</f>
        <v>0</v>
      </c>
      <c r="F817" s="466">
        <f t="shared" si="6"/>
        <v>0</v>
      </c>
      <c r="G817" s="91"/>
    </row>
    <row r="818" spans="1:7" s="277" customFormat="1" ht="12.75">
      <c r="A818" s="119"/>
      <c r="B818" s="84"/>
      <c r="C818" s="2"/>
      <c r="D818" s="332"/>
      <c r="E818" s="425"/>
      <c r="F818" s="466">
        <f t="shared" si="6"/>
        <v>0</v>
      </c>
      <c r="G818" s="91"/>
    </row>
    <row r="819" spans="1:7" s="277" customFormat="1" ht="14.25" customHeight="1">
      <c r="A819" s="119"/>
      <c r="B819" s="109" t="s">
        <v>1890</v>
      </c>
      <c r="C819" s="2"/>
      <c r="D819" s="332"/>
      <c r="E819" s="425"/>
      <c r="F819" s="466">
        <f t="shared" si="6"/>
        <v>0</v>
      </c>
      <c r="G819" s="91"/>
    </row>
    <row r="820" spans="1:7" s="277" customFormat="1" ht="12.75">
      <c r="A820" s="131"/>
      <c r="B820" s="84"/>
      <c r="C820" s="2"/>
      <c r="D820" s="332"/>
      <c r="E820" s="425"/>
      <c r="F820" s="466">
        <f t="shared" si="6"/>
        <v>0</v>
      </c>
      <c r="G820" s="91"/>
    </row>
    <row r="821" spans="1:7" s="277" customFormat="1" ht="25.5">
      <c r="A821" s="127" t="s">
        <v>1891</v>
      </c>
      <c r="B821" s="84" t="s">
        <v>3103</v>
      </c>
      <c r="C821" s="2"/>
      <c r="D821" s="332"/>
      <c r="E821" s="425"/>
      <c r="F821" s="466">
        <f t="shared" si="6"/>
        <v>0</v>
      </c>
      <c r="G821" s="91"/>
    </row>
    <row r="822" spans="1:7" s="277" customFormat="1" ht="25.5">
      <c r="A822" s="119"/>
      <c r="B822" s="84" t="s">
        <v>3104</v>
      </c>
      <c r="C822" s="2"/>
      <c r="D822" s="332"/>
      <c r="E822" s="425"/>
      <c r="F822" s="466">
        <f t="shared" si="6"/>
        <v>0</v>
      </c>
      <c r="G822" s="91"/>
    </row>
    <row r="823" spans="1:7" s="277" customFormat="1" ht="15.75">
      <c r="A823" s="119"/>
      <c r="B823" s="84" t="s">
        <v>3105</v>
      </c>
      <c r="C823" s="2" t="s">
        <v>1561</v>
      </c>
      <c r="D823" s="332">
        <v>99</v>
      </c>
      <c r="E823" s="465">
        <f>'Cost break dow.'!V805</f>
        <v>153.121377959375</v>
      </c>
      <c r="F823" s="466">
        <f aca="true" t="shared" si="7" ref="F823:F886">D823*E823</f>
        <v>15159.016417978124</v>
      </c>
      <c r="G823" s="91"/>
    </row>
    <row r="824" spans="1:7" s="277" customFormat="1" ht="12.75">
      <c r="A824" s="131"/>
      <c r="B824" s="84"/>
      <c r="C824" s="2"/>
      <c r="D824" s="332"/>
      <c r="E824" s="425"/>
      <c r="F824" s="466">
        <f t="shared" si="7"/>
        <v>0</v>
      </c>
      <c r="G824" s="91"/>
    </row>
    <row r="825" spans="1:7" s="277" customFormat="1" ht="25.5">
      <c r="A825" s="127" t="s">
        <v>1892</v>
      </c>
      <c r="B825" s="84" t="s">
        <v>3106</v>
      </c>
      <c r="C825" s="2"/>
      <c r="D825" s="332"/>
      <c r="E825" s="425"/>
      <c r="F825" s="466">
        <f t="shared" si="7"/>
        <v>0</v>
      </c>
      <c r="G825" s="91"/>
    </row>
    <row r="826" spans="1:7" s="277" customFormat="1" ht="25.5">
      <c r="A826" s="119"/>
      <c r="B826" s="84" t="s">
        <v>1424</v>
      </c>
      <c r="C826" s="2"/>
      <c r="D826" s="332"/>
      <c r="E826" s="425"/>
      <c r="F826" s="466">
        <f t="shared" si="7"/>
        <v>0</v>
      </c>
      <c r="G826" s="91"/>
    </row>
    <row r="827" spans="1:7" s="277" customFormat="1" ht="15.75">
      <c r="A827" s="119"/>
      <c r="B827" s="84" t="s">
        <v>1425</v>
      </c>
      <c r="C827" s="2" t="s">
        <v>1561</v>
      </c>
      <c r="D827" s="332">
        <v>157</v>
      </c>
      <c r="E827" s="465">
        <v>180</v>
      </c>
      <c r="F827" s="466">
        <f t="shared" si="7"/>
        <v>28260</v>
      </c>
      <c r="G827" s="91"/>
    </row>
    <row r="828" spans="1:7" s="277" customFormat="1" ht="12.75">
      <c r="A828" s="119"/>
      <c r="B828" s="71"/>
      <c r="C828" s="2"/>
      <c r="D828" s="332"/>
      <c r="E828" s="425"/>
      <c r="F828" s="466">
        <f t="shared" si="7"/>
        <v>0</v>
      </c>
      <c r="G828" s="91"/>
    </row>
    <row r="829" spans="1:7" s="277" customFormat="1" ht="25.5">
      <c r="A829" s="119" t="s">
        <v>1893</v>
      </c>
      <c r="B829" s="132" t="s">
        <v>1426</v>
      </c>
      <c r="C829" s="2"/>
      <c r="D829" s="332"/>
      <c r="E829" s="425"/>
      <c r="F829" s="466">
        <f t="shared" si="7"/>
        <v>0</v>
      </c>
      <c r="G829" s="91"/>
    </row>
    <row r="830" spans="1:7" s="277" customFormat="1" ht="25.5">
      <c r="A830" s="119"/>
      <c r="B830" s="84" t="s">
        <v>1427</v>
      </c>
      <c r="C830" s="2"/>
      <c r="D830" s="332"/>
      <c r="E830" s="425"/>
      <c r="F830" s="466">
        <f t="shared" si="7"/>
        <v>0</v>
      </c>
      <c r="G830" s="91"/>
    </row>
    <row r="831" spans="1:7" s="277" customFormat="1" ht="28.5">
      <c r="A831" s="119"/>
      <c r="B831" s="84" t="s">
        <v>2157</v>
      </c>
      <c r="C831" s="2" t="s">
        <v>1561</v>
      </c>
      <c r="D831" s="332">
        <v>16</v>
      </c>
      <c r="E831" s="465">
        <v>180</v>
      </c>
      <c r="F831" s="466">
        <f t="shared" si="7"/>
        <v>2880</v>
      </c>
      <c r="G831" s="91"/>
    </row>
    <row r="832" spans="1:7" s="277" customFormat="1" ht="12.75">
      <c r="A832" s="119"/>
      <c r="B832" s="84"/>
      <c r="C832" s="2"/>
      <c r="D832" s="332"/>
      <c r="E832" s="425"/>
      <c r="F832" s="466">
        <f t="shared" si="7"/>
        <v>0</v>
      </c>
      <c r="G832" s="91"/>
    </row>
    <row r="833" spans="1:7" s="277" customFormat="1" ht="16.5" customHeight="1">
      <c r="A833" s="119" t="s">
        <v>1894</v>
      </c>
      <c r="B833" s="84" t="s">
        <v>2158</v>
      </c>
      <c r="C833" s="2"/>
      <c r="D833" s="332"/>
      <c r="E833" s="425"/>
      <c r="F833" s="466">
        <f t="shared" si="7"/>
        <v>0</v>
      </c>
      <c r="G833" s="91"/>
    </row>
    <row r="834" spans="1:7" s="277" customFormat="1" ht="25.5">
      <c r="A834" s="127"/>
      <c r="B834" s="84" t="s">
        <v>1445</v>
      </c>
      <c r="C834" s="2"/>
      <c r="D834" s="332"/>
      <c r="E834" s="425"/>
      <c r="F834" s="466">
        <f t="shared" si="7"/>
        <v>0</v>
      </c>
      <c r="G834" s="91"/>
    </row>
    <row r="835" spans="1:7" s="277" customFormat="1" ht="12.75">
      <c r="A835" s="119"/>
      <c r="B835" s="84" t="s">
        <v>1446</v>
      </c>
      <c r="C835" s="2" t="s">
        <v>1561</v>
      </c>
      <c r="D835" s="332">
        <v>16</v>
      </c>
      <c r="E835" s="465">
        <v>750</v>
      </c>
      <c r="F835" s="466">
        <f t="shared" si="7"/>
        <v>12000</v>
      </c>
      <c r="G835" s="91"/>
    </row>
    <row r="836" spans="1:7" s="277" customFormat="1" ht="12.75">
      <c r="A836" s="119"/>
      <c r="B836" s="84"/>
      <c r="C836" s="2"/>
      <c r="D836" s="332"/>
      <c r="E836" s="425"/>
      <c r="F836" s="466">
        <f t="shared" si="7"/>
        <v>0</v>
      </c>
      <c r="G836" s="91"/>
    </row>
    <row r="837" spans="1:7" s="277" customFormat="1" ht="12.75">
      <c r="A837" s="131"/>
      <c r="B837" s="109" t="s">
        <v>1895</v>
      </c>
      <c r="C837" s="2"/>
      <c r="D837" s="332"/>
      <c r="E837" s="425"/>
      <c r="F837" s="466">
        <f t="shared" si="7"/>
        <v>0</v>
      </c>
      <c r="G837" s="91"/>
    </row>
    <row r="838" spans="1:7" s="277" customFormat="1" ht="12.75">
      <c r="A838" s="127"/>
      <c r="B838" s="84"/>
      <c r="C838" s="2"/>
      <c r="D838" s="332"/>
      <c r="E838" s="425"/>
      <c r="F838" s="466">
        <f t="shared" si="7"/>
        <v>0</v>
      </c>
      <c r="G838" s="91"/>
    </row>
    <row r="839" spans="1:7" s="277" customFormat="1" ht="25.5">
      <c r="A839" s="119" t="s">
        <v>882</v>
      </c>
      <c r="B839" s="84" t="s">
        <v>1447</v>
      </c>
      <c r="C839" s="2"/>
      <c r="D839" s="332"/>
      <c r="E839" s="425"/>
      <c r="F839" s="466">
        <f t="shared" si="7"/>
        <v>0</v>
      </c>
      <c r="G839" s="91"/>
    </row>
    <row r="840" spans="1:7" s="277" customFormat="1" ht="25.5">
      <c r="A840" s="119"/>
      <c r="B840" s="84" t="s">
        <v>2530</v>
      </c>
      <c r="C840" s="2"/>
      <c r="D840" s="332"/>
      <c r="E840" s="465"/>
      <c r="F840" s="466">
        <f t="shared" si="7"/>
        <v>0</v>
      </c>
      <c r="G840" s="91"/>
    </row>
    <row r="841" spans="1:7" s="277" customFormat="1" ht="12.75">
      <c r="A841" s="119"/>
      <c r="B841" s="71" t="s">
        <v>2531</v>
      </c>
      <c r="C841" s="2"/>
      <c r="D841" s="332"/>
      <c r="E841" s="425"/>
      <c r="F841" s="466">
        <f t="shared" si="7"/>
        <v>0</v>
      </c>
      <c r="G841" s="91"/>
    </row>
    <row r="842" spans="1:7" s="277" customFormat="1" ht="12.75">
      <c r="A842" s="119"/>
      <c r="B842" s="132" t="s">
        <v>2532</v>
      </c>
      <c r="C842" s="2" t="s">
        <v>1561</v>
      </c>
      <c r="D842" s="332">
        <v>108</v>
      </c>
      <c r="E842" s="465">
        <v>100</v>
      </c>
      <c r="F842" s="466">
        <f t="shared" si="7"/>
        <v>10800</v>
      </c>
      <c r="G842" s="91"/>
    </row>
    <row r="843" spans="1:7" s="277" customFormat="1" ht="12.75">
      <c r="A843" s="119"/>
      <c r="B843" s="84"/>
      <c r="C843" s="2"/>
      <c r="D843" s="332"/>
      <c r="E843" s="425"/>
      <c r="F843" s="466">
        <f t="shared" si="7"/>
        <v>0</v>
      </c>
      <c r="G843" s="91"/>
    </row>
    <row r="844" spans="1:7" s="277" customFormat="1" ht="12.75">
      <c r="A844" s="119" t="s">
        <v>774</v>
      </c>
      <c r="B844" s="84" t="s">
        <v>1055</v>
      </c>
      <c r="C844" s="2"/>
      <c r="D844" s="332"/>
      <c r="E844" s="425"/>
      <c r="F844" s="466">
        <f t="shared" si="7"/>
        <v>0</v>
      </c>
      <c r="G844" s="91"/>
    </row>
    <row r="845" spans="1:7" s="277" customFormat="1" ht="12.75">
      <c r="A845" s="119"/>
      <c r="B845" s="84" t="s">
        <v>1056</v>
      </c>
      <c r="C845" s="2" t="s">
        <v>1561</v>
      </c>
      <c r="D845" s="332">
        <v>92</v>
      </c>
      <c r="E845" s="465">
        <v>60</v>
      </c>
      <c r="F845" s="466">
        <f t="shared" si="7"/>
        <v>5520</v>
      </c>
      <c r="G845" s="91"/>
    </row>
    <row r="846" spans="1:7" s="277" customFormat="1" ht="12.75">
      <c r="A846" s="131"/>
      <c r="B846" s="84"/>
      <c r="C846" s="2"/>
      <c r="D846" s="332"/>
      <c r="E846" s="425"/>
      <c r="F846" s="466">
        <f t="shared" si="7"/>
        <v>0</v>
      </c>
      <c r="G846" s="91"/>
    </row>
    <row r="847" spans="1:7" s="277" customFormat="1" ht="25.5">
      <c r="A847" s="127" t="s">
        <v>775</v>
      </c>
      <c r="B847" s="84" t="s">
        <v>1057</v>
      </c>
      <c r="C847" s="2"/>
      <c r="D847" s="332"/>
      <c r="E847" s="425"/>
      <c r="F847" s="466">
        <f t="shared" si="7"/>
        <v>0</v>
      </c>
      <c r="G847" s="91"/>
    </row>
    <row r="848" spans="1:7" s="277" customFormat="1" ht="12.75">
      <c r="A848" s="119"/>
      <c r="B848" s="84" t="s">
        <v>1058</v>
      </c>
      <c r="C848" s="2" t="s">
        <v>1561</v>
      </c>
      <c r="D848" s="332">
        <v>16</v>
      </c>
      <c r="E848" s="465">
        <v>60</v>
      </c>
      <c r="F848" s="466">
        <f t="shared" si="7"/>
        <v>960</v>
      </c>
      <c r="G848" s="91"/>
    </row>
    <row r="849" spans="1:7" s="277" customFormat="1" ht="12.75">
      <c r="A849" s="119"/>
      <c r="B849" s="84"/>
      <c r="C849" s="2"/>
      <c r="D849" s="332"/>
      <c r="E849" s="425"/>
      <c r="F849" s="466">
        <f t="shared" si="7"/>
        <v>0</v>
      </c>
      <c r="G849" s="91"/>
    </row>
    <row r="850" spans="1:7" s="277" customFormat="1" ht="12.75">
      <c r="A850" s="119" t="s">
        <v>776</v>
      </c>
      <c r="B850" s="84" t="s">
        <v>1059</v>
      </c>
      <c r="C850" s="2"/>
      <c r="D850" s="332"/>
      <c r="E850" s="425"/>
      <c r="F850" s="466">
        <f t="shared" si="7"/>
        <v>0</v>
      </c>
      <c r="G850" s="91"/>
    </row>
    <row r="851" spans="1:7" s="277" customFormat="1" ht="12.75">
      <c r="A851" s="127"/>
      <c r="B851" s="84" t="s">
        <v>1060</v>
      </c>
      <c r="C851" s="2" t="s">
        <v>1561</v>
      </c>
      <c r="D851" s="332">
        <v>21</v>
      </c>
      <c r="E851" s="465">
        <v>300</v>
      </c>
      <c r="F851" s="466">
        <f t="shared" si="7"/>
        <v>6300</v>
      </c>
      <c r="G851" s="91"/>
    </row>
    <row r="852" spans="1:7" s="277" customFormat="1" ht="12.75">
      <c r="A852" s="119"/>
      <c r="B852" s="84"/>
      <c r="C852" s="2"/>
      <c r="D852" s="332"/>
      <c r="E852" s="425"/>
      <c r="F852" s="466">
        <f t="shared" si="7"/>
        <v>0</v>
      </c>
      <c r="G852" s="91"/>
    </row>
    <row r="853" spans="1:7" s="66" customFormat="1" ht="12.75">
      <c r="A853" s="112"/>
      <c r="B853" s="109" t="s">
        <v>1907</v>
      </c>
      <c r="C853" s="5"/>
      <c r="D853" s="335"/>
      <c r="E853" s="425"/>
      <c r="F853" s="466">
        <f t="shared" si="7"/>
        <v>0</v>
      </c>
      <c r="G853" s="98"/>
    </row>
    <row r="854" spans="1:7" s="277" customFormat="1" ht="12.75">
      <c r="A854" s="131"/>
      <c r="B854" s="84"/>
      <c r="C854" s="2"/>
      <c r="D854" s="332"/>
      <c r="E854" s="425"/>
      <c r="F854" s="466">
        <f t="shared" si="7"/>
        <v>0</v>
      </c>
      <c r="G854" s="91"/>
    </row>
    <row r="855" spans="1:7" s="277" customFormat="1" ht="25.5">
      <c r="A855" s="127"/>
      <c r="B855" s="84" t="s">
        <v>566</v>
      </c>
      <c r="C855" s="2"/>
      <c r="D855" s="332"/>
      <c r="E855" s="425"/>
      <c r="F855" s="466">
        <f t="shared" si="7"/>
        <v>0</v>
      </c>
      <c r="G855" s="91"/>
    </row>
    <row r="856" spans="1:7" s="277" customFormat="1" ht="12.75">
      <c r="A856" s="119"/>
      <c r="B856" s="84" t="s">
        <v>2571</v>
      </c>
      <c r="C856" s="2"/>
      <c r="D856" s="332"/>
      <c r="E856" s="425"/>
      <c r="F856" s="466">
        <f t="shared" si="7"/>
        <v>0</v>
      </c>
      <c r="G856" s="91"/>
    </row>
    <row r="857" spans="1:7" s="277" customFormat="1" ht="12.75">
      <c r="A857" s="119"/>
      <c r="B857" s="84"/>
      <c r="C857" s="2"/>
      <c r="D857" s="332"/>
      <c r="E857" s="425"/>
      <c r="F857" s="466">
        <f t="shared" si="7"/>
        <v>0</v>
      </c>
      <c r="G857" s="91"/>
    </row>
    <row r="858" spans="1:7" s="277" customFormat="1" ht="25.5">
      <c r="A858" s="119" t="s">
        <v>1908</v>
      </c>
      <c r="B858" s="71" t="s">
        <v>2572</v>
      </c>
      <c r="C858" s="2"/>
      <c r="D858" s="332"/>
      <c r="E858" s="425"/>
      <c r="F858" s="466">
        <f t="shared" si="7"/>
        <v>0</v>
      </c>
      <c r="G858" s="91"/>
    </row>
    <row r="859" spans="1:7" s="277" customFormat="1" ht="12.75">
      <c r="A859" s="119"/>
      <c r="B859" s="132" t="s">
        <v>2573</v>
      </c>
      <c r="C859" s="2" t="s">
        <v>1561</v>
      </c>
      <c r="D859" s="332">
        <v>235</v>
      </c>
      <c r="E859" s="465">
        <v>950</v>
      </c>
      <c r="F859" s="466">
        <f t="shared" si="7"/>
        <v>223250</v>
      </c>
      <c r="G859" s="91"/>
    </row>
    <row r="860" spans="1:7" s="277" customFormat="1" ht="7.5" customHeight="1">
      <c r="A860" s="119"/>
      <c r="B860" s="84"/>
      <c r="C860" s="2"/>
      <c r="D860" s="332"/>
      <c r="E860" s="425"/>
      <c r="F860" s="466">
        <f t="shared" si="7"/>
        <v>0</v>
      </c>
      <c r="G860" s="91"/>
    </row>
    <row r="861" spans="1:7" s="277" customFormat="1" ht="19.5" customHeight="1">
      <c r="A861" s="119" t="s">
        <v>1909</v>
      </c>
      <c r="B861" s="84" t="s">
        <v>2574</v>
      </c>
      <c r="C861" s="2"/>
      <c r="D861" s="332"/>
      <c r="E861" s="425"/>
      <c r="F861" s="466">
        <f t="shared" si="7"/>
        <v>0</v>
      </c>
      <c r="G861" s="91"/>
    </row>
    <row r="862" spans="1:7" s="277" customFormat="1" ht="12.75">
      <c r="A862" s="119"/>
      <c r="B862" s="84" t="s">
        <v>2575</v>
      </c>
      <c r="C862" s="2" t="s">
        <v>1561</v>
      </c>
      <c r="D862" s="332">
        <v>43</v>
      </c>
      <c r="E862" s="465">
        <v>950</v>
      </c>
      <c r="F862" s="466">
        <f t="shared" si="7"/>
        <v>40850</v>
      </c>
      <c r="G862" s="91"/>
    </row>
    <row r="863" spans="1:7" s="277" customFormat="1" ht="12.75">
      <c r="A863" s="131"/>
      <c r="B863" s="84"/>
      <c r="C863" s="2"/>
      <c r="D863" s="332"/>
      <c r="E863" s="425"/>
      <c r="F863" s="466">
        <f t="shared" si="7"/>
        <v>0</v>
      </c>
      <c r="G863" s="91"/>
    </row>
    <row r="864" spans="1:7" s="277" customFormat="1" ht="25.5">
      <c r="A864" s="127" t="s">
        <v>1910</v>
      </c>
      <c r="B864" s="84" t="s">
        <v>2576</v>
      </c>
      <c r="C864" s="2"/>
      <c r="D864" s="332"/>
      <c r="E864" s="425"/>
      <c r="F864" s="466">
        <f t="shared" si="7"/>
        <v>0</v>
      </c>
      <c r="G864" s="91"/>
    </row>
    <row r="865" spans="1:7" s="277" customFormat="1" ht="12.75">
      <c r="A865" s="119"/>
      <c r="B865" s="84" t="s">
        <v>2577</v>
      </c>
      <c r="C865" s="2" t="s">
        <v>1561</v>
      </c>
      <c r="D865" s="332">
        <v>116</v>
      </c>
      <c r="E865" s="465">
        <v>600</v>
      </c>
      <c r="F865" s="466">
        <f t="shared" si="7"/>
        <v>69600</v>
      </c>
      <c r="G865" s="91"/>
    </row>
    <row r="866" spans="1:7" s="277" customFormat="1" ht="12.75">
      <c r="A866" s="119"/>
      <c r="B866" s="84"/>
      <c r="C866" s="2"/>
      <c r="D866" s="332"/>
      <c r="E866" s="425"/>
      <c r="F866" s="466">
        <f t="shared" si="7"/>
        <v>0</v>
      </c>
      <c r="G866" s="91"/>
    </row>
    <row r="867" spans="1:7" s="277" customFormat="1" ht="12.75">
      <c r="A867" s="119" t="s">
        <v>1911</v>
      </c>
      <c r="B867" s="84" t="s">
        <v>2578</v>
      </c>
      <c r="C867" s="2"/>
      <c r="D867" s="332"/>
      <c r="E867" s="425"/>
      <c r="F867" s="466">
        <f t="shared" si="7"/>
        <v>0</v>
      </c>
      <c r="G867" s="91"/>
    </row>
    <row r="868" spans="1:7" s="277" customFormat="1" ht="12.75">
      <c r="A868" s="127"/>
      <c r="B868" s="84" t="s">
        <v>2579</v>
      </c>
      <c r="C868" s="2" t="s">
        <v>1561</v>
      </c>
      <c r="D868" s="332">
        <v>7</v>
      </c>
      <c r="E868" s="465">
        <v>980</v>
      </c>
      <c r="F868" s="466">
        <f t="shared" si="7"/>
        <v>6860</v>
      </c>
      <c r="G868" s="91"/>
    </row>
    <row r="869" spans="1:7" s="277" customFormat="1" ht="12.75">
      <c r="A869" s="119"/>
      <c r="B869" s="84"/>
      <c r="C869" s="2"/>
      <c r="D869" s="332"/>
      <c r="E869" s="425"/>
      <c r="F869" s="466">
        <f t="shared" si="7"/>
        <v>0</v>
      </c>
      <c r="G869" s="91"/>
    </row>
    <row r="870" spans="1:7" s="277" customFormat="1" ht="12.75">
      <c r="A870" s="119" t="s">
        <v>1912</v>
      </c>
      <c r="B870" s="84" t="s">
        <v>2580</v>
      </c>
      <c r="C870" s="2"/>
      <c r="D870" s="332"/>
      <c r="E870" s="425"/>
      <c r="F870" s="466">
        <f t="shared" si="7"/>
        <v>0</v>
      </c>
      <c r="G870" s="91"/>
    </row>
    <row r="871" spans="1:7" s="277" customFormat="1" ht="12.75">
      <c r="A871" s="119"/>
      <c r="B871" s="71" t="s">
        <v>2579</v>
      </c>
      <c r="C871" s="2" t="s">
        <v>1561</v>
      </c>
      <c r="D871" s="332">
        <v>25</v>
      </c>
      <c r="E871" s="465">
        <v>250</v>
      </c>
      <c r="F871" s="466">
        <f t="shared" si="7"/>
        <v>6250</v>
      </c>
      <c r="G871" s="91"/>
    </row>
    <row r="872" spans="1:7" s="277" customFormat="1" ht="12.75">
      <c r="A872" s="119"/>
      <c r="B872" s="132"/>
      <c r="C872" s="2"/>
      <c r="D872" s="332"/>
      <c r="E872" s="425"/>
      <c r="F872" s="466">
        <f t="shared" si="7"/>
        <v>0</v>
      </c>
      <c r="G872" s="91"/>
    </row>
    <row r="873" spans="1:7" s="277" customFormat="1" ht="25.5">
      <c r="A873" s="119" t="s">
        <v>1913</v>
      </c>
      <c r="B873" s="84" t="s">
        <v>2022</v>
      </c>
      <c r="C873" s="2" t="s">
        <v>1561</v>
      </c>
      <c r="D873" s="332">
        <v>33</v>
      </c>
      <c r="E873" s="465">
        <v>450</v>
      </c>
      <c r="F873" s="466">
        <f t="shared" si="7"/>
        <v>14850</v>
      </c>
      <c r="G873" s="91"/>
    </row>
    <row r="874" spans="1:7" s="277" customFormat="1" ht="12.75">
      <c r="A874" s="119"/>
      <c r="B874" s="84"/>
      <c r="C874" s="2"/>
      <c r="D874" s="332"/>
      <c r="E874" s="425"/>
      <c r="F874" s="466">
        <f t="shared" si="7"/>
        <v>0</v>
      </c>
      <c r="G874" s="91"/>
    </row>
    <row r="875" spans="1:7" s="277" customFormat="1" ht="12.75">
      <c r="A875" s="119" t="s">
        <v>1914</v>
      </c>
      <c r="B875" s="84" t="s">
        <v>2023</v>
      </c>
      <c r="C875" s="2"/>
      <c r="D875" s="332"/>
      <c r="E875" s="425"/>
      <c r="F875" s="466">
        <f t="shared" si="7"/>
        <v>0</v>
      </c>
      <c r="G875" s="91"/>
    </row>
    <row r="876" spans="1:7" s="277" customFormat="1" ht="12.75">
      <c r="A876" s="131"/>
      <c r="B876" s="84" t="s">
        <v>2024</v>
      </c>
      <c r="C876" s="2" t="s">
        <v>1561</v>
      </c>
      <c r="D876" s="332">
        <v>15</v>
      </c>
      <c r="E876" s="465">
        <v>390</v>
      </c>
      <c r="F876" s="466">
        <f t="shared" si="7"/>
        <v>5850</v>
      </c>
      <c r="G876" s="91"/>
    </row>
    <row r="877" spans="1:7" s="277" customFormat="1" ht="12.75">
      <c r="A877" s="127"/>
      <c r="B877" s="84"/>
      <c r="C877" s="2"/>
      <c r="D877" s="332"/>
      <c r="E877" s="425"/>
      <c r="F877" s="466">
        <f t="shared" si="7"/>
        <v>0</v>
      </c>
      <c r="G877" s="91"/>
    </row>
    <row r="878" spans="1:7" s="277" customFormat="1" ht="25.5">
      <c r="A878" s="119" t="s">
        <v>1915</v>
      </c>
      <c r="B878" s="84" t="s">
        <v>2025</v>
      </c>
      <c r="C878" s="2"/>
      <c r="D878" s="332"/>
      <c r="E878" s="425"/>
      <c r="F878" s="466">
        <f t="shared" si="7"/>
        <v>0</v>
      </c>
      <c r="G878" s="91"/>
    </row>
    <row r="879" spans="1:7" s="277" customFormat="1" ht="12.75">
      <c r="A879" s="119"/>
      <c r="B879" s="84" t="s">
        <v>2573</v>
      </c>
      <c r="C879" s="2" t="s">
        <v>1561</v>
      </c>
      <c r="D879" s="332">
        <v>2</v>
      </c>
      <c r="E879" s="465">
        <v>750</v>
      </c>
      <c r="F879" s="466">
        <f t="shared" si="7"/>
        <v>1500</v>
      </c>
      <c r="G879" s="91"/>
    </row>
    <row r="880" spans="1:7" s="277" customFormat="1" ht="12.75">
      <c r="A880" s="131"/>
      <c r="B880" s="84"/>
      <c r="C880" s="2"/>
      <c r="D880" s="332"/>
      <c r="E880" s="425"/>
      <c r="F880" s="466">
        <f t="shared" si="7"/>
        <v>0</v>
      </c>
      <c r="G880" s="91"/>
    </row>
    <row r="881" spans="1:7" s="277" customFormat="1" ht="25.5">
      <c r="A881" s="127" t="s">
        <v>1916</v>
      </c>
      <c r="B881" s="84" t="s">
        <v>2026</v>
      </c>
      <c r="C881" s="2"/>
      <c r="D881" s="332"/>
      <c r="E881" s="425"/>
      <c r="F881" s="466">
        <f t="shared" si="7"/>
        <v>0</v>
      </c>
      <c r="G881" s="91"/>
    </row>
    <row r="882" spans="1:7" s="277" customFormat="1" ht="12.75">
      <c r="A882" s="119"/>
      <c r="B882" s="84" t="s">
        <v>1056</v>
      </c>
      <c r="C882" s="2" t="s">
        <v>1561</v>
      </c>
      <c r="D882" s="332">
        <v>19</v>
      </c>
      <c r="E882" s="465">
        <v>850</v>
      </c>
      <c r="F882" s="466">
        <f t="shared" si="7"/>
        <v>16150</v>
      </c>
      <c r="G882" s="91"/>
    </row>
    <row r="883" spans="1:7" s="277" customFormat="1" ht="12.75">
      <c r="A883" s="119"/>
      <c r="B883" s="84"/>
      <c r="C883" s="2"/>
      <c r="D883" s="332"/>
      <c r="E883" s="425"/>
      <c r="F883" s="466">
        <f t="shared" si="7"/>
        <v>0</v>
      </c>
      <c r="G883" s="91"/>
    </row>
    <row r="884" spans="1:7" s="277" customFormat="1" ht="25.5">
      <c r="A884" s="119" t="s">
        <v>1917</v>
      </c>
      <c r="B884" s="71" t="s">
        <v>2027</v>
      </c>
      <c r="C884" s="2" t="s">
        <v>1561</v>
      </c>
      <c r="D884" s="332">
        <v>5</v>
      </c>
      <c r="E884" s="465">
        <v>860</v>
      </c>
      <c r="F884" s="466">
        <f t="shared" si="7"/>
        <v>4300</v>
      </c>
      <c r="G884" s="91"/>
    </row>
    <row r="885" spans="1:7" s="277" customFormat="1" ht="12.75">
      <c r="A885" s="119"/>
      <c r="B885" s="132"/>
      <c r="C885" s="2"/>
      <c r="D885" s="332"/>
      <c r="E885" s="425"/>
      <c r="F885" s="466">
        <f t="shared" si="7"/>
        <v>0</v>
      </c>
      <c r="G885" s="91"/>
    </row>
    <row r="886" spans="1:7" s="277" customFormat="1" ht="25.5">
      <c r="A886" s="119" t="s">
        <v>1918</v>
      </c>
      <c r="B886" s="84" t="s">
        <v>2028</v>
      </c>
      <c r="C886" s="2" t="s">
        <v>1561</v>
      </c>
      <c r="D886" s="332">
        <v>14</v>
      </c>
      <c r="E886" s="465">
        <v>1500</v>
      </c>
      <c r="F886" s="466">
        <f t="shared" si="7"/>
        <v>21000</v>
      </c>
      <c r="G886" s="91"/>
    </row>
    <row r="887" spans="1:7" s="277" customFormat="1" ht="12.75">
      <c r="A887" s="127"/>
      <c r="B887" s="84"/>
      <c r="C887" s="2"/>
      <c r="D887" s="332"/>
      <c r="E887" s="425"/>
      <c r="F887" s="466">
        <f aca="true" t="shared" si="8" ref="F887:F950">D887*E887</f>
        <v>0</v>
      </c>
      <c r="G887" s="91"/>
    </row>
    <row r="888" spans="1:7" s="277" customFormat="1" ht="12.75">
      <c r="A888" s="119"/>
      <c r="B888" s="109" t="s">
        <v>1919</v>
      </c>
      <c r="C888" s="2"/>
      <c r="D888" s="332"/>
      <c r="E888" s="425"/>
      <c r="F888" s="466">
        <f t="shared" si="8"/>
        <v>0</v>
      </c>
      <c r="G888" s="91"/>
    </row>
    <row r="889" spans="1:7" s="277" customFormat="1" ht="12.75">
      <c r="A889" s="119"/>
      <c r="B889" s="84"/>
      <c r="C889" s="2"/>
      <c r="D889" s="332"/>
      <c r="E889" s="425"/>
      <c r="F889" s="466">
        <f t="shared" si="8"/>
        <v>0</v>
      </c>
      <c r="G889" s="91"/>
    </row>
    <row r="890" spans="1:7" s="277" customFormat="1" ht="12.75">
      <c r="A890" s="131"/>
      <c r="B890" s="84" t="s">
        <v>2029</v>
      </c>
      <c r="C890" s="2"/>
      <c r="D890" s="332"/>
      <c r="E890" s="425"/>
      <c r="F890" s="466">
        <f t="shared" si="8"/>
        <v>0</v>
      </c>
      <c r="G890" s="91"/>
    </row>
    <row r="891" spans="1:7" s="277" customFormat="1" ht="12.75">
      <c r="A891" s="127"/>
      <c r="B891" s="84" t="s">
        <v>2030</v>
      </c>
      <c r="C891" s="2"/>
      <c r="D891" s="332"/>
      <c r="E891" s="425"/>
      <c r="F891" s="466">
        <f t="shared" si="8"/>
        <v>0</v>
      </c>
      <c r="G891" s="91"/>
    </row>
    <row r="892" spans="1:7" s="277" customFormat="1" ht="12.75">
      <c r="A892" s="119"/>
      <c r="B892" s="84"/>
      <c r="C892" s="2"/>
      <c r="D892" s="332"/>
      <c r="E892" s="425"/>
      <c r="F892" s="466">
        <f t="shared" si="8"/>
        <v>0</v>
      </c>
      <c r="G892" s="91"/>
    </row>
    <row r="893" spans="1:7" s="277" customFormat="1" ht="14.25">
      <c r="A893" s="119" t="s">
        <v>1920</v>
      </c>
      <c r="B893" s="84" t="s">
        <v>2031</v>
      </c>
      <c r="C893" s="2" t="s">
        <v>2557</v>
      </c>
      <c r="D893" s="332">
        <v>26</v>
      </c>
      <c r="E893" s="465">
        <v>36</v>
      </c>
      <c r="F893" s="466">
        <f t="shared" si="8"/>
        <v>936</v>
      </c>
      <c r="G893" s="91"/>
    </row>
    <row r="894" spans="1:7" s="277" customFormat="1" ht="12.75">
      <c r="A894" s="131"/>
      <c r="B894" s="84"/>
      <c r="C894" s="2"/>
      <c r="D894" s="332"/>
      <c r="E894" s="425"/>
      <c r="F894" s="466">
        <f t="shared" si="8"/>
        <v>0</v>
      </c>
      <c r="G894" s="91"/>
    </row>
    <row r="895" spans="1:7" s="277" customFormat="1" ht="14.25">
      <c r="A895" s="127" t="s">
        <v>1921</v>
      </c>
      <c r="B895" s="84" t="s">
        <v>2032</v>
      </c>
      <c r="C895" s="2" t="s">
        <v>2557</v>
      </c>
      <c r="D895" s="332">
        <v>20</v>
      </c>
      <c r="E895" s="465">
        <v>36</v>
      </c>
      <c r="F895" s="466">
        <f t="shared" si="8"/>
        <v>720</v>
      </c>
      <c r="G895" s="91"/>
    </row>
    <row r="896" spans="1:7" s="277" customFormat="1" ht="12.75">
      <c r="A896" s="119"/>
      <c r="B896" s="84"/>
      <c r="C896" s="2"/>
      <c r="D896" s="332"/>
      <c r="E896" s="425"/>
      <c r="F896" s="466">
        <f t="shared" si="8"/>
        <v>0</v>
      </c>
      <c r="G896" s="91"/>
    </row>
    <row r="897" spans="1:7" s="277" customFormat="1" ht="14.25">
      <c r="A897" s="119" t="s">
        <v>1922</v>
      </c>
      <c r="B897" s="84" t="s">
        <v>2033</v>
      </c>
      <c r="C897" s="2" t="s">
        <v>2557</v>
      </c>
      <c r="D897" s="332">
        <v>14</v>
      </c>
      <c r="E897" s="465">
        <v>36</v>
      </c>
      <c r="F897" s="466">
        <f t="shared" si="8"/>
        <v>504</v>
      </c>
      <c r="G897" s="91"/>
    </row>
    <row r="898" spans="1:7" s="277" customFormat="1" ht="12.75">
      <c r="A898" s="119"/>
      <c r="B898" s="71"/>
      <c r="C898" s="2"/>
      <c r="D898" s="332"/>
      <c r="E898" s="425"/>
      <c r="F898" s="466">
        <f t="shared" si="8"/>
        <v>0</v>
      </c>
      <c r="G898" s="91"/>
    </row>
    <row r="899" spans="1:7" s="277" customFormat="1" ht="14.25">
      <c r="A899" s="119" t="s">
        <v>1923</v>
      </c>
      <c r="B899" s="132" t="s">
        <v>2034</v>
      </c>
      <c r="C899" s="2" t="s">
        <v>2557</v>
      </c>
      <c r="D899" s="332">
        <v>12</v>
      </c>
      <c r="E899" s="465">
        <v>36</v>
      </c>
      <c r="F899" s="466">
        <f t="shared" si="8"/>
        <v>432</v>
      </c>
      <c r="G899" s="91"/>
    </row>
    <row r="900" spans="1:7" s="277" customFormat="1" ht="12.75">
      <c r="A900" s="119"/>
      <c r="B900" s="84"/>
      <c r="C900" s="2"/>
      <c r="D900" s="332"/>
      <c r="E900" s="425"/>
      <c r="F900" s="466">
        <f t="shared" si="8"/>
        <v>0</v>
      </c>
      <c r="G900" s="91"/>
    </row>
    <row r="901" spans="1:7" s="277" customFormat="1" ht="14.25">
      <c r="A901" s="119" t="s">
        <v>1924</v>
      </c>
      <c r="B901" s="84" t="s">
        <v>2035</v>
      </c>
      <c r="C901" s="2" t="s">
        <v>2557</v>
      </c>
      <c r="D901" s="332">
        <v>12</v>
      </c>
      <c r="E901" s="465">
        <v>36</v>
      </c>
      <c r="F901" s="466">
        <f t="shared" si="8"/>
        <v>432</v>
      </c>
      <c r="G901" s="91"/>
    </row>
    <row r="902" spans="1:7" s="277" customFormat="1" ht="12.75">
      <c r="A902" s="119"/>
      <c r="B902" s="84"/>
      <c r="C902" s="2"/>
      <c r="D902" s="332"/>
      <c r="E902" s="425"/>
      <c r="F902" s="466">
        <f t="shared" si="8"/>
        <v>0</v>
      </c>
      <c r="G902" s="91"/>
    </row>
    <row r="903" spans="1:7" s="277" customFormat="1" ht="14.25">
      <c r="A903" s="119" t="s">
        <v>2333</v>
      </c>
      <c r="B903" s="84" t="s">
        <v>2036</v>
      </c>
      <c r="C903" s="2" t="s">
        <v>2557</v>
      </c>
      <c r="D903" s="332">
        <v>18</v>
      </c>
      <c r="E903" s="465">
        <v>36</v>
      </c>
      <c r="F903" s="466">
        <f t="shared" si="8"/>
        <v>648</v>
      </c>
      <c r="G903" s="91"/>
    </row>
    <row r="904" spans="1:7" s="277" customFormat="1" ht="12.75">
      <c r="A904" s="127"/>
      <c r="B904" s="84"/>
      <c r="C904" s="2"/>
      <c r="D904" s="332"/>
      <c r="E904" s="425"/>
      <c r="F904" s="466">
        <f t="shared" si="8"/>
        <v>0</v>
      </c>
      <c r="G904" s="91"/>
    </row>
    <row r="905" spans="1:7" s="277" customFormat="1" ht="14.25">
      <c r="A905" s="119" t="s">
        <v>2334</v>
      </c>
      <c r="B905" s="84" t="s">
        <v>2037</v>
      </c>
      <c r="C905" s="2" t="s">
        <v>2557</v>
      </c>
      <c r="D905" s="332">
        <v>24</v>
      </c>
      <c r="E905" s="465">
        <v>36</v>
      </c>
      <c r="F905" s="466">
        <f t="shared" si="8"/>
        <v>864</v>
      </c>
      <c r="G905" s="91"/>
    </row>
    <row r="906" spans="1:7" s="277" customFormat="1" ht="12.75">
      <c r="A906" s="119"/>
      <c r="B906" s="84"/>
      <c r="C906" s="2"/>
      <c r="D906" s="332"/>
      <c r="E906" s="425"/>
      <c r="F906" s="466">
        <f t="shared" si="8"/>
        <v>0</v>
      </c>
      <c r="G906" s="91"/>
    </row>
    <row r="907" spans="1:7" s="277" customFormat="1" ht="14.25">
      <c r="A907" s="119" t="s">
        <v>2335</v>
      </c>
      <c r="B907" s="84" t="s">
        <v>2038</v>
      </c>
      <c r="C907" s="2" t="s">
        <v>2557</v>
      </c>
      <c r="D907" s="332">
        <v>30</v>
      </c>
      <c r="E907" s="465">
        <v>36</v>
      </c>
      <c r="F907" s="466">
        <f t="shared" si="8"/>
        <v>1080</v>
      </c>
      <c r="G907" s="91"/>
    </row>
    <row r="908" spans="1:7" s="277" customFormat="1" ht="12.75">
      <c r="A908" s="127"/>
      <c r="B908" s="84"/>
      <c r="C908" s="2"/>
      <c r="D908" s="332"/>
      <c r="E908" s="425"/>
      <c r="F908" s="466">
        <f t="shared" si="8"/>
        <v>0</v>
      </c>
      <c r="G908" s="91"/>
    </row>
    <row r="909" spans="1:7" s="277" customFormat="1" ht="14.25">
      <c r="A909" s="119" t="s">
        <v>2341</v>
      </c>
      <c r="B909" s="84" t="s">
        <v>2039</v>
      </c>
      <c r="C909" s="2" t="s">
        <v>2557</v>
      </c>
      <c r="D909" s="332">
        <v>12</v>
      </c>
      <c r="E909" s="465">
        <v>75</v>
      </c>
      <c r="F909" s="466">
        <f t="shared" si="8"/>
        <v>900</v>
      </c>
      <c r="G909" s="91"/>
    </row>
    <row r="910" spans="1:7" s="277" customFormat="1" ht="12.75">
      <c r="A910" s="119"/>
      <c r="B910" s="84"/>
      <c r="C910" s="2"/>
      <c r="D910" s="332"/>
      <c r="E910" s="425"/>
      <c r="F910" s="466">
        <f t="shared" si="8"/>
        <v>0</v>
      </c>
      <c r="G910" s="91"/>
    </row>
    <row r="911" spans="1:7" s="277" customFormat="1" ht="14.25">
      <c r="A911" s="119" t="s">
        <v>2342</v>
      </c>
      <c r="B911" s="71" t="s">
        <v>3004</v>
      </c>
      <c r="C911" s="2" t="s">
        <v>2557</v>
      </c>
      <c r="D911" s="332">
        <v>18</v>
      </c>
      <c r="E911" s="465">
        <v>170</v>
      </c>
      <c r="F911" s="466">
        <f t="shared" si="8"/>
        <v>3060</v>
      </c>
      <c r="G911" s="91"/>
    </row>
    <row r="912" spans="1:7" s="277" customFormat="1" ht="12.75">
      <c r="A912" s="119"/>
      <c r="B912" s="132"/>
      <c r="C912" s="2"/>
      <c r="D912" s="332"/>
      <c r="E912" s="425"/>
      <c r="F912" s="466">
        <f t="shared" si="8"/>
        <v>0</v>
      </c>
      <c r="G912" s="91"/>
    </row>
    <row r="913" spans="1:7" s="277" customFormat="1" ht="14.25">
      <c r="A913" s="119" t="s">
        <v>2343</v>
      </c>
      <c r="B913" s="84" t="s">
        <v>3005</v>
      </c>
      <c r="C913" s="2" t="s">
        <v>2557</v>
      </c>
      <c r="D913" s="332">
        <v>24</v>
      </c>
      <c r="E913" s="465">
        <v>170</v>
      </c>
      <c r="F913" s="466">
        <f t="shared" si="8"/>
        <v>4080</v>
      </c>
      <c r="G913" s="91"/>
    </row>
    <row r="914" spans="1:7" s="277" customFormat="1" ht="12.75">
      <c r="A914" s="119"/>
      <c r="B914" s="84"/>
      <c r="C914" s="2"/>
      <c r="D914" s="332"/>
      <c r="E914" s="425"/>
      <c r="F914" s="466">
        <f t="shared" si="8"/>
        <v>0</v>
      </c>
      <c r="G914" s="91"/>
    </row>
    <row r="915" spans="1:7" s="277" customFormat="1" ht="14.25">
      <c r="A915" s="119" t="s">
        <v>3107</v>
      </c>
      <c r="B915" s="84" t="s">
        <v>1073</v>
      </c>
      <c r="C915" s="2" t="s">
        <v>2557</v>
      </c>
      <c r="D915" s="332">
        <v>30</v>
      </c>
      <c r="E915" s="465">
        <v>75</v>
      </c>
      <c r="F915" s="466">
        <f t="shared" si="8"/>
        <v>2250</v>
      </c>
      <c r="G915" s="91"/>
    </row>
    <row r="916" spans="1:7" s="277" customFormat="1" ht="12.75">
      <c r="A916" s="131"/>
      <c r="B916" s="84"/>
      <c r="C916" s="2"/>
      <c r="D916" s="332"/>
      <c r="E916" s="425"/>
      <c r="F916" s="466">
        <f t="shared" si="8"/>
        <v>0</v>
      </c>
      <c r="G916" s="91"/>
    </row>
    <row r="917" spans="1:7" s="277" customFormat="1" ht="14.25">
      <c r="A917" s="127" t="s">
        <v>3108</v>
      </c>
      <c r="B917" s="84" t="s">
        <v>1074</v>
      </c>
      <c r="C917" s="2" t="s">
        <v>2557</v>
      </c>
      <c r="D917" s="332">
        <v>35</v>
      </c>
      <c r="E917" s="465">
        <v>75</v>
      </c>
      <c r="F917" s="466">
        <f t="shared" si="8"/>
        <v>2625</v>
      </c>
      <c r="G917" s="91"/>
    </row>
    <row r="918" spans="1:7" s="277" customFormat="1" ht="12.75">
      <c r="A918" s="119"/>
      <c r="B918" s="84"/>
      <c r="C918" s="2"/>
      <c r="D918" s="332"/>
      <c r="E918" s="425"/>
      <c r="F918" s="466">
        <f t="shared" si="8"/>
        <v>0</v>
      </c>
      <c r="G918" s="91"/>
    </row>
    <row r="919" spans="1:7" s="277" customFormat="1" ht="14.25">
      <c r="A919" s="119" t="s">
        <v>3109</v>
      </c>
      <c r="B919" s="84" t="s">
        <v>1075</v>
      </c>
      <c r="C919" s="2" t="s">
        <v>2557</v>
      </c>
      <c r="D919" s="332">
        <v>45</v>
      </c>
      <c r="E919" s="465">
        <v>70</v>
      </c>
      <c r="F919" s="466">
        <f t="shared" si="8"/>
        <v>3150</v>
      </c>
      <c r="G919" s="91"/>
    </row>
    <row r="920" spans="1:7" s="277" customFormat="1" ht="12.75">
      <c r="A920" s="131"/>
      <c r="B920" s="84"/>
      <c r="C920" s="2"/>
      <c r="D920" s="332"/>
      <c r="E920" s="425"/>
      <c r="F920" s="466">
        <f t="shared" si="8"/>
        <v>0</v>
      </c>
      <c r="G920" s="91"/>
    </row>
    <row r="921" spans="1:7" s="277" customFormat="1" ht="14.25">
      <c r="A921" s="127" t="s">
        <v>3110</v>
      </c>
      <c r="B921" s="84" t="s">
        <v>1076</v>
      </c>
      <c r="C921" s="2" t="s">
        <v>2557</v>
      </c>
      <c r="D921" s="332">
        <v>26</v>
      </c>
      <c r="E921" s="465">
        <v>36</v>
      </c>
      <c r="F921" s="466">
        <f t="shared" si="8"/>
        <v>936</v>
      </c>
      <c r="G921" s="91"/>
    </row>
    <row r="922" spans="1:7" s="277" customFormat="1" ht="12.75">
      <c r="A922" s="119"/>
      <c r="B922" s="84"/>
      <c r="C922" s="2"/>
      <c r="D922" s="332"/>
      <c r="E922" s="425"/>
      <c r="F922" s="466">
        <f t="shared" si="8"/>
        <v>0</v>
      </c>
      <c r="G922" s="91"/>
    </row>
    <row r="923" spans="1:7" s="277" customFormat="1" ht="14.25">
      <c r="A923" s="119" t="s">
        <v>3111</v>
      </c>
      <c r="B923" s="84" t="s">
        <v>1077</v>
      </c>
      <c r="C923" s="2" t="s">
        <v>2557</v>
      </c>
      <c r="D923" s="332">
        <v>20</v>
      </c>
      <c r="E923" s="465">
        <v>36</v>
      </c>
      <c r="F923" s="466">
        <f t="shared" si="8"/>
        <v>720</v>
      </c>
      <c r="G923" s="91"/>
    </row>
    <row r="924" spans="1:7" s="277" customFormat="1" ht="12.75">
      <c r="A924" s="119"/>
      <c r="B924" s="71"/>
      <c r="C924" s="2"/>
      <c r="D924" s="332"/>
      <c r="E924" s="425"/>
      <c r="F924" s="466">
        <f t="shared" si="8"/>
        <v>0</v>
      </c>
      <c r="G924" s="91"/>
    </row>
    <row r="925" spans="1:7" s="277" customFormat="1" ht="14.25">
      <c r="A925" s="119" t="s">
        <v>3112</v>
      </c>
      <c r="B925" s="132" t="s">
        <v>1078</v>
      </c>
      <c r="C925" s="2" t="s">
        <v>2557</v>
      </c>
      <c r="D925" s="332">
        <v>14</v>
      </c>
      <c r="E925" s="465">
        <v>36</v>
      </c>
      <c r="F925" s="466">
        <f t="shared" si="8"/>
        <v>504</v>
      </c>
      <c r="G925" s="91"/>
    </row>
    <row r="926" spans="1:7" s="277" customFormat="1" ht="12.75">
      <c r="A926" s="119"/>
      <c r="B926" s="84"/>
      <c r="C926" s="2"/>
      <c r="D926" s="332"/>
      <c r="E926" s="425"/>
      <c r="F926" s="466">
        <f t="shared" si="8"/>
        <v>0</v>
      </c>
      <c r="G926" s="91"/>
    </row>
    <row r="927" spans="1:7" s="277" customFormat="1" ht="14.25">
      <c r="A927" s="119" t="s">
        <v>3113</v>
      </c>
      <c r="B927" s="84" t="s">
        <v>1079</v>
      </c>
      <c r="C927" s="2" t="s">
        <v>2557</v>
      </c>
      <c r="D927" s="332">
        <v>12</v>
      </c>
      <c r="E927" s="465">
        <v>36</v>
      </c>
      <c r="F927" s="466">
        <f t="shared" si="8"/>
        <v>432</v>
      </c>
      <c r="G927" s="91"/>
    </row>
    <row r="928" spans="1:7" s="277" customFormat="1" ht="12.75">
      <c r="A928" s="119"/>
      <c r="B928" s="84"/>
      <c r="C928" s="2"/>
      <c r="D928" s="332"/>
      <c r="E928" s="425"/>
      <c r="F928" s="466">
        <f t="shared" si="8"/>
        <v>0</v>
      </c>
      <c r="G928" s="91"/>
    </row>
    <row r="929" spans="1:7" s="277" customFormat="1" ht="14.25">
      <c r="A929" s="119" t="s">
        <v>3114</v>
      </c>
      <c r="B929" s="84" t="s">
        <v>1080</v>
      </c>
      <c r="C929" s="2" t="s">
        <v>2557</v>
      </c>
      <c r="D929" s="332">
        <v>12</v>
      </c>
      <c r="E929" s="465">
        <v>36</v>
      </c>
      <c r="F929" s="466">
        <f t="shared" si="8"/>
        <v>432</v>
      </c>
      <c r="G929" s="91"/>
    </row>
    <row r="930" spans="1:7" s="277" customFormat="1" ht="12.75">
      <c r="A930" s="127"/>
      <c r="B930" s="84"/>
      <c r="C930" s="2"/>
      <c r="D930" s="332"/>
      <c r="E930" s="425"/>
      <c r="F930" s="466">
        <f t="shared" si="8"/>
        <v>0</v>
      </c>
      <c r="G930" s="91"/>
    </row>
    <row r="931" spans="1:7" s="277" customFormat="1" ht="14.25">
      <c r="A931" s="119" t="s">
        <v>3115</v>
      </c>
      <c r="B931" s="84" t="s">
        <v>1081</v>
      </c>
      <c r="C931" s="2" t="s">
        <v>2557</v>
      </c>
      <c r="D931" s="332">
        <v>18</v>
      </c>
      <c r="E931" s="465">
        <v>36</v>
      </c>
      <c r="F931" s="466">
        <f t="shared" si="8"/>
        <v>648</v>
      </c>
      <c r="G931" s="91"/>
    </row>
    <row r="932" spans="1:7" s="277" customFormat="1" ht="12.75">
      <c r="A932" s="119"/>
      <c r="B932" s="84"/>
      <c r="C932" s="2"/>
      <c r="D932" s="332"/>
      <c r="E932" s="425"/>
      <c r="F932" s="466">
        <f t="shared" si="8"/>
        <v>0</v>
      </c>
      <c r="G932" s="91"/>
    </row>
    <row r="933" spans="1:7" s="277" customFormat="1" ht="14.25">
      <c r="A933" s="119" t="s">
        <v>3116</v>
      </c>
      <c r="B933" s="84" t="s">
        <v>1202</v>
      </c>
      <c r="C933" s="2" t="s">
        <v>2557</v>
      </c>
      <c r="D933" s="332">
        <v>24</v>
      </c>
      <c r="E933" s="465">
        <v>36</v>
      </c>
      <c r="F933" s="466">
        <f t="shared" si="8"/>
        <v>864</v>
      </c>
      <c r="G933" s="91"/>
    </row>
    <row r="934" spans="1:7" s="277" customFormat="1" ht="12.75">
      <c r="A934" s="127"/>
      <c r="B934" s="84"/>
      <c r="C934" s="2"/>
      <c r="D934" s="332"/>
      <c r="E934" s="425"/>
      <c r="F934" s="466">
        <f t="shared" si="8"/>
        <v>0</v>
      </c>
      <c r="G934" s="91"/>
    </row>
    <row r="935" spans="1:7" s="277" customFormat="1" ht="14.25">
      <c r="A935" s="119" t="s">
        <v>3117</v>
      </c>
      <c r="B935" s="84" t="s">
        <v>1203</v>
      </c>
      <c r="C935" s="2" t="s">
        <v>2557</v>
      </c>
      <c r="D935" s="332">
        <v>30</v>
      </c>
      <c r="E935" s="465">
        <v>36</v>
      </c>
      <c r="F935" s="466">
        <f t="shared" si="8"/>
        <v>1080</v>
      </c>
      <c r="G935" s="91"/>
    </row>
    <row r="936" spans="1:7" s="277" customFormat="1" ht="12.75">
      <c r="A936" s="119"/>
      <c r="B936" s="84"/>
      <c r="C936" s="2"/>
      <c r="D936" s="332"/>
      <c r="E936" s="425"/>
      <c r="F936" s="466">
        <f t="shared" si="8"/>
        <v>0</v>
      </c>
      <c r="G936" s="91"/>
    </row>
    <row r="937" spans="1:7" s="277" customFormat="1" ht="14.25">
      <c r="A937" s="119" t="s">
        <v>3118</v>
      </c>
      <c r="B937" s="84" t="s">
        <v>1204</v>
      </c>
      <c r="C937" s="2" t="s">
        <v>2557</v>
      </c>
      <c r="D937" s="332">
        <v>36</v>
      </c>
      <c r="E937" s="465">
        <v>36</v>
      </c>
      <c r="F937" s="466">
        <f t="shared" si="8"/>
        <v>1296</v>
      </c>
      <c r="G937" s="91"/>
    </row>
    <row r="938" spans="1:7" s="277" customFormat="1" ht="12.75">
      <c r="A938" s="127"/>
      <c r="B938" s="84"/>
      <c r="C938" s="2"/>
      <c r="D938" s="332"/>
      <c r="E938" s="425"/>
      <c r="F938" s="466">
        <f t="shared" si="8"/>
        <v>0</v>
      </c>
      <c r="G938" s="91"/>
    </row>
    <row r="939" spans="1:7" s="277" customFormat="1" ht="14.25">
      <c r="A939" s="119" t="s">
        <v>3119</v>
      </c>
      <c r="B939" s="84" t="s">
        <v>1205</v>
      </c>
      <c r="C939" s="2" t="s">
        <v>2557</v>
      </c>
      <c r="D939" s="332">
        <v>26</v>
      </c>
      <c r="E939" s="465">
        <v>52</v>
      </c>
      <c r="F939" s="466">
        <f t="shared" si="8"/>
        <v>1352</v>
      </c>
      <c r="G939" s="91"/>
    </row>
    <row r="940" spans="1:7" s="277" customFormat="1" ht="12.75">
      <c r="A940" s="119"/>
      <c r="B940" s="84"/>
      <c r="C940" s="2"/>
      <c r="D940" s="332"/>
      <c r="E940" s="425"/>
      <c r="F940" s="466">
        <f t="shared" si="8"/>
        <v>0</v>
      </c>
      <c r="G940" s="91"/>
    </row>
    <row r="941" spans="1:7" s="277" customFormat="1" ht="14.25">
      <c r="A941" s="119" t="s">
        <v>3120</v>
      </c>
      <c r="B941" s="84" t="s">
        <v>1206</v>
      </c>
      <c r="C941" s="2" t="s">
        <v>2557</v>
      </c>
      <c r="D941" s="332">
        <v>20</v>
      </c>
      <c r="E941" s="465">
        <v>52</v>
      </c>
      <c r="F941" s="466">
        <f t="shared" si="8"/>
        <v>1040</v>
      </c>
      <c r="G941" s="91"/>
    </row>
    <row r="942" spans="1:7" s="277" customFormat="1" ht="12.75">
      <c r="A942" s="127"/>
      <c r="B942" s="84"/>
      <c r="C942" s="2"/>
      <c r="D942" s="332"/>
      <c r="E942" s="425"/>
      <c r="F942" s="466">
        <f t="shared" si="8"/>
        <v>0</v>
      </c>
      <c r="G942" s="91"/>
    </row>
    <row r="943" spans="1:7" s="277" customFormat="1" ht="14.25">
      <c r="A943" s="119" t="s">
        <v>3121</v>
      </c>
      <c r="B943" s="84" t="s">
        <v>1207</v>
      </c>
      <c r="C943" s="2" t="s">
        <v>2557</v>
      </c>
      <c r="D943" s="332">
        <v>14</v>
      </c>
      <c r="E943" s="465">
        <v>52</v>
      </c>
      <c r="F943" s="466">
        <f t="shared" si="8"/>
        <v>728</v>
      </c>
      <c r="G943" s="91"/>
    </row>
    <row r="944" spans="1:7" s="277" customFormat="1" ht="12.75">
      <c r="A944" s="119"/>
      <c r="B944" s="84"/>
      <c r="C944" s="2"/>
      <c r="D944" s="332"/>
      <c r="E944" s="425"/>
      <c r="F944" s="466">
        <f t="shared" si="8"/>
        <v>0</v>
      </c>
      <c r="G944" s="91"/>
    </row>
    <row r="945" spans="1:7" s="277" customFormat="1" ht="14.25">
      <c r="A945" s="119" t="s">
        <v>3122</v>
      </c>
      <c r="B945" s="71" t="s">
        <v>1208</v>
      </c>
      <c r="C945" s="2" t="s">
        <v>2557</v>
      </c>
      <c r="D945" s="332">
        <v>16</v>
      </c>
      <c r="E945" s="465">
        <v>52</v>
      </c>
      <c r="F945" s="466">
        <f t="shared" si="8"/>
        <v>832</v>
      </c>
      <c r="G945" s="91"/>
    </row>
    <row r="946" spans="1:7" s="277" customFormat="1" ht="12.75">
      <c r="A946" s="119"/>
      <c r="B946" s="132"/>
      <c r="C946" s="2"/>
      <c r="D946" s="332"/>
      <c r="E946" s="425"/>
      <c r="F946" s="466">
        <f t="shared" si="8"/>
        <v>0</v>
      </c>
      <c r="G946" s="91"/>
    </row>
    <row r="947" spans="1:7" s="277" customFormat="1" ht="14.25">
      <c r="A947" s="119" t="s">
        <v>3123</v>
      </c>
      <c r="B947" s="84" t="s">
        <v>1209</v>
      </c>
      <c r="C947" s="2" t="s">
        <v>2557</v>
      </c>
      <c r="D947" s="332">
        <v>12</v>
      </c>
      <c r="E947" s="465">
        <v>52</v>
      </c>
      <c r="F947" s="466">
        <f t="shared" si="8"/>
        <v>624</v>
      </c>
      <c r="G947" s="91"/>
    </row>
    <row r="948" spans="1:7" s="277" customFormat="1" ht="12.75">
      <c r="A948" s="119"/>
      <c r="B948" s="84"/>
      <c r="C948" s="2"/>
      <c r="D948" s="332"/>
      <c r="E948" s="425"/>
      <c r="F948" s="466">
        <f t="shared" si="8"/>
        <v>0</v>
      </c>
      <c r="G948" s="91"/>
    </row>
    <row r="949" spans="1:7" s="277" customFormat="1" ht="14.25">
      <c r="A949" s="119" t="s">
        <v>3124</v>
      </c>
      <c r="B949" s="84" t="s">
        <v>1210</v>
      </c>
      <c r="C949" s="2" t="s">
        <v>2557</v>
      </c>
      <c r="D949" s="332">
        <v>18</v>
      </c>
      <c r="E949" s="465">
        <v>52</v>
      </c>
      <c r="F949" s="466">
        <f t="shared" si="8"/>
        <v>936</v>
      </c>
      <c r="G949" s="91"/>
    </row>
    <row r="950" spans="1:7" s="277" customFormat="1" ht="12.75">
      <c r="A950" s="131"/>
      <c r="B950" s="84"/>
      <c r="C950" s="2"/>
      <c r="D950" s="332"/>
      <c r="E950" s="425"/>
      <c r="F950" s="466">
        <f t="shared" si="8"/>
        <v>0</v>
      </c>
      <c r="G950" s="91"/>
    </row>
    <row r="951" spans="1:7" s="277" customFormat="1" ht="14.25">
      <c r="A951" s="127" t="s">
        <v>3125</v>
      </c>
      <c r="B951" s="84" t="s">
        <v>198</v>
      </c>
      <c r="C951" s="2" t="s">
        <v>2557</v>
      </c>
      <c r="D951" s="332">
        <v>24</v>
      </c>
      <c r="E951" s="465">
        <v>52</v>
      </c>
      <c r="F951" s="466">
        <f aca="true" t="shared" si="9" ref="F951:F1014">D951*E951</f>
        <v>1248</v>
      </c>
      <c r="G951" s="91"/>
    </row>
    <row r="952" spans="1:7" s="277" customFormat="1" ht="12.75">
      <c r="A952" s="119"/>
      <c r="B952" s="84"/>
      <c r="C952" s="2"/>
      <c r="D952" s="332"/>
      <c r="E952" s="425"/>
      <c r="F952" s="466">
        <f t="shared" si="9"/>
        <v>0</v>
      </c>
      <c r="G952" s="91"/>
    </row>
    <row r="953" spans="1:7" s="277" customFormat="1" ht="14.25">
      <c r="A953" s="119" t="s">
        <v>3126</v>
      </c>
      <c r="B953" s="84" t="s">
        <v>199</v>
      </c>
      <c r="C953" s="2" t="s">
        <v>2557</v>
      </c>
      <c r="D953" s="332">
        <v>30</v>
      </c>
      <c r="E953" s="465">
        <v>52</v>
      </c>
      <c r="F953" s="466">
        <f t="shared" si="9"/>
        <v>1560</v>
      </c>
      <c r="G953" s="91"/>
    </row>
    <row r="954" spans="1:7" s="277" customFormat="1" ht="12.75">
      <c r="A954" s="131"/>
      <c r="B954" s="84"/>
      <c r="C954" s="2"/>
      <c r="D954" s="332"/>
      <c r="E954" s="425"/>
      <c r="F954" s="466">
        <f t="shared" si="9"/>
        <v>0</v>
      </c>
      <c r="G954" s="91"/>
    </row>
    <row r="955" spans="1:7" s="277" customFormat="1" ht="14.25">
      <c r="A955" s="127" t="s">
        <v>3127</v>
      </c>
      <c r="B955" s="84" t="s">
        <v>200</v>
      </c>
      <c r="C955" s="2" t="s">
        <v>2557</v>
      </c>
      <c r="D955" s="332">
        <v>35</v>
      </c>
      <c r="E955" s="465">
        <v>52</v>
      </c>
      <c r="F955" s="466">
        <f t="shared" si="9"/>
        <v>1820</v>
      </c>
      <c r="G955" s="91"/>
    </row>
    <row r="956" spans="1:7" s="277" customFormat="1" ht="12.75">
      <c r="A956" s="119"/>
      <c r="B956" s="84"/>
      <c r="C956" s="2"/>
      <c r="D956" s="332"/>
      <c r="E956" s="425"/>
      <c r="F956" s="466">
        <f t="shared" si="9"/>
        <v>0</v>
      </c>
      <c r="G956" s="91"/>
    </row>
    <row r="957" spans="1:7" s="277" customFormat="1" ht="14.25">
      <c r="A957" s="119" t="s">
        <v>3128</v>
      </c>
      <c r="B957" s="84" t="s">
        <v>67</v>
      </c>
      <c r="C957" s="2" t="s">
        <v>2557</v>
      </c>
      <c r="D957" s="332">
        <v>16</v>
      </c>
      <c r="E957" s="465">
        <v>52</v>
      </c>
      <c r="F957" s="466">
        <f t="shared" si="9"/>
        <v>832</v>
      </c>
      <c r="G957" s="91"/>
    </row>
    <row r="958" spans="1:7" s="277" customFormat="1" ht="12.75">
      <c r="A958" s="119"/>
      <c r="B958" s="71"/>
      <c r="C958" s="2"/>
      <c r="D958" s="332"/>
      <c r="E958" s="425"/>
      <c r="F958" s="466">
        <f t="shared" si="9"/>
        <v>0</v>
      </c>
      <c r="G958" s="91"/>
    </row>
    <row r="959" spans="1:7" s="277" customFormat="1" ht="14.25">
      <c r="A959" s="119" t="s">
        <v>3129</v>
      </c>
      <c r="B959" s="132" t="s">
        <v>68</v>
      </c>
      <c r="C959" s="2" t="s">
        <v>2557</v>
      </c>
      <c r="D959" s="332">
        <v>26</v>
      </c>
      <c r="E959" s="465">
        <v>52</v>
      </c>
      <c r="F959" s="466">
        <f t="shared" si="9"/>
        <v>1352</v>
      </c>
      <c r="G959" s="91"/>
    </row>
    <row r="960" spans="1:7" s="277" customFormat="1" ht="12.75">
      <c r="A960" s="119"/>
      <c r="B960" s="84"/>
      <c r="C960" s="2"/>
      <c r="D960" s="332"/>
      <c r="E960" s="425"/>
      <c r="F960" s="466">
        <f t="shared" si="9"/>
        <v>0</v>
      </c>
      <c r="G960" s="91"/>
    </row>
    <row r="961" spans="1:7" s="277" customFormat="1" ht="14.25">
      <c r="A961" s="119" t="s">
        <v>3130</v>
      </c>
      <c r="B961" s="84" t="s">
        <v>69</v>
      </c>
      <c r="C961" s="2" t="s">
        <v>2557</v>
      </c>
      <c r="D961" s="332">
        <v>20</v>
      </c>
      <c r="E961" s="465">
        <v>52</v>
      </c>
      <c r="F961" s="466">
        <f t="shared" si="9"/>
        <v>1040</v>
      </c>
      <c r="G961" s="91"/>
    </row>
    <row r="962" spans="1:7" s="277" customFormat="1" ht="12.75">
      <c r="A962" s="119"/>
      <c r="B962" s="84"/>
      <c r="C962" s="2"/>
      <c r="D962" s="332"/>
      <c r="E962" s="425"/>
      <c r="F962" s="466">
        <f t="shared" si="9"/>
        <v>0</v>
      </c>
      <c r="G962" s="91"/>
    </row>
    <row r="963" spans="1:7" s="277" customFormat="1" ht="14.25">
      <c r="A963" s="119" t="s">
        <v>3131</v>
      </c>
      <c r="B963" s="84" t="s">
        <v>70</v>
      </c>
      <c r="C963" s="2" t="s">
        <v>2557</v>
      </c>
      <c r="D963" s="332">
        <v>14</v>
      </c>
      <c r="E963" s="465">
        <v>52</v>
      </c>
      <c r="F963" s="466">
        <f t="shared" si="9"/>
        <v>728</v>
      </c>
      <c r="G963" s="91"/>
    </row>
    <row r="964" spans="1:7" s="277" customFormat="1" ht="12.75">
      <c r="A964" s="127"/>
      <c r="B964" s="84"/>
      <c r="C964" s="2"/>
      <c r="D964" s="332"/>
      <c r="E964" s="425"/>
      <c r="F964" s="466">
        <f t="shared" si="9"/>
        <v>0</v>
      </c>
      <c r="G964" s="91"/>
    </row>
    <row r="965" spans="1:7" s="277" customFormat="1" ht="14.25">
      <c r="A965" s="119" t="s">
        <v>3132</v>
      </c>
      <c r="B965" s="84" t="s">
        <v>2812</v>
      </c>
      <c r="C965" s="2" t="s">
        <v>2557</v>
      </c>
      <c r="D965" s="332">
        <v>16</v>
      </c>
      <c r="E965" s="465">
        <v>52</v>
      </c>
      <c r="F965" s="466">
        <f t="shared" si="9"/>
        <v>832</v>
      </c>
      <c r="G965" s="91"/>
    </row>
    <row r="966" spans="1:7" s="277" customFormat="1" ht="12.75">
      <c r="A966" s="119"/>
      <c r="B966" s="84"/>
      <c r="C966" s="2"/>
      <c r="D966" s="332"/>
      <c r="E966" s="425"/>
      <c r="F966" s="466">
        <f t="shared" si="9"/>
        <v>0</v>
      </c>
      <c r="G966" s="91"/>
    </row>
    <row r="967" spans="1:7" s="277" customFormat="1" ht="14.25">
      <c r="A967" s="119" t="s">
        <v>3133</v>
      </c>
      <c r="B967" s="84" t="s">
        <v>2813</v>
      </c>
      <c r="C967" s="2" t="s">
        <v>2557</v>
      </c>
      <c r="D967" s="332">
        <v>12</v>
      </c>
      <c r="E967" s="465">
        <v>52</v>
      </c>
      <c r="F967" s="466">
        <f t="shared" si="9"/>
        <v>624</v>
      </c>
      <c r="G967" s="91"/>
    </row>
    <row r="968" spans="1:7" s="277" customFormat="1" ht="12.75">
      <c r="A968" s="127"/>
      <c r="B968" s="84"/>
      <c r="C968" s="2"/>
      <c r="D968" s="332"/>
      <c r="E968" s="425"/>
      <c r="F968" s="466">
        <f t="shared" si="9"/>
        <v>0</v>
      </c>
      <c r="G968" s="91"/>
    </row>
    <row r="969" spans="1:7" s="277" customFormat="1" ht="14.25">
      <c r="A969" s="119" t="s">
        <v>3134</v>
      </c>
      <c r="B969" s="84" t="s">
        <v>2814</v>
      </c>
      <c r="C969" s="2" t="s">
        <v>2557</v>
      </c>
      <c r="D969" s="332">
        <v>18</v>
      </c>
      <c r="E969" s="465">
        <v>52</v>
      </c>
      <c r="F969" s="466">
        <f t="shared" si="9"/>
        <v>936</v>
      </c>
      <c r="G969" s="91"/>
    </row>
    <row r="970" spans="1:7" s="277" customFormat="1" ht="12.75">
      <c r="A970" s="119"/>
      <c r="B970" s="84"/>
      <c r="C970" s="2"/>
      <c r="D970" s="332"/>
      <c r="E970" s="425"/>
      <c r="F970" s="466">
        <f t="shared" si="9"/>
        <v>0</v>
      </c>
      <c r="G970" s="91"/>
    </row>
    <row r="971" spans="1:7" s="277" customFormat="1" ht="14.25">
      <c r="A971" s="119" t="s">
        <v>3135</v>
      </c>
      <c r="B971" s="71" t="s">
        <v>2815</v>
      </c>
      <c r="C971" s="2" t="s">
        <v>2557</v>
      </c>
      <c r="D971" s="332">
        <v>24</v>
      </c>
      <c r="E971" s="465">
        <v>52</v>
      </c>
      <c r="F971" s="466">
        <f t="shared" si="9"/>
        <v>1248</v>
      </c>
      <c r="G971" s="91"/>
    </row>
    <row r="972" spans="1:7" s="277" customFormat="1" ht="12.75">
      <c r="A972" s="119"/>
      <c r="B972" s="132"/>
      <c r="C972" s="2"/>
      <c r="D972" s="332"/>
      <c r="E972" s="425"/>
      <c r="F972" s="466">
        <f t="shared" si="9"/>
        <v>0</v>
      </c>
      <c r="G972" s="91"/>
    </row>
    <row r="973" spans="1:7" s="277" customFormat="1" ht="14.25">
      <c r="A973" s="119" t="s">
        <v>3136</v>
      </c>
      <c r="B973" s="84" t="s">
        <v>2816</v>
      </c>
      <c r="C973" s="2" t="s">
        <v>2557</v>
      </c>
      <c r="D973" s="332">
        <v>30</v>
      </c>
      <c r="E973" s="465">
        <v>52</v>
      </c>
      <c r="F973" s="466">
        <f t="shared" si="9"/>
        <v>1560</v>
      </c>
      <c r="G973" s="91"/>
    </row>
    <row r="974" spans="1:7" s="277" customFormat="1" ht="12.75">
      <c r="A974" s="119"/>
      <c r="B974" s="84"/>
      <c r="C974" s="2"/>
      <c r="D974" s="332"/>
      <c r="E974" s="425"/>
      <c r="F974" s="466">
        <f t="shared" si="9"/>
        <v>0</v>
      </c>
      <c r="G974" s="91"/>
    </row>
    <row r="975" spans="1:7" s="277" customFormat="1" ht="14.25">
      <c r="A975" s="119" t="s">
        <v>3137</v>
      </c>
      <c r="B975" s="84" t="s">
        <v>2817</v>
      </c>
      <c r="C975" s="2" t="s">
        <v>2557</v>
      </c>
      <c r="D975" s="332">
        <v>35</v>
      </c>
      <c r="E975" s="465">
        <v>52</v>
      </c>
      <c r="F975" s="466">
        <f t="shared" si="9"/>
        <v>1820</v>
      </c>
      <c r="G975" s="91"/>
    </row>
    <row r="976" spans="1:7" s="277" customFormat="1" ht="12.75">
      <c r="A976" s="131"/>
      <c r="B976" s="84"/>
      <c r="C976" s="2"/>
      <c r="D976" s="332"/>
      <c r="E976" s="425"/>
      <c r="F976" s="466">
        <f t="shared" si="9"/>
        <v>0</v>
      </c>
      <c r="G976" s="91"/>
    </row>
    <row r="977" spans="1:7" s="277" customFormat="1" ht="14.25">
      <c r="A977" s="127" t="s">
        <v>3138</v>
      </c>
      <c r="B977" s="84" t="s">
        <v>2818</v>
      </c>
      <c r="C977" s="2" t="s">
        <v>2557</v>
      </c>
      <c r="D977" s="332">
        <v>16</v>
      </c>
      <c r="E977" s="465">
        <v>52</v>
      </c>
      <c r="F977" s="466">
        <f t="shared" si="9"/>
        <v>832</v>
      </c>
      <c r="G977" s="91"/>
    </row>
    <row r="978" spans="1:7" s="277" customFormat="1" ht="12.75">
      <c r="A978" s="119"/>
      <c r="B978" s="84"/>
      <c r="C978" s="2"/>
      <c r="D978" s="332"/>
      <c r="E978" s="425"/>
      <c r="F978" s="466">
        <f t="shared" si="9"/>
        <v>0</v>
      </c>
      <c r="G978" s="91"/>
    </row>
    <row r="979" spans="1:7" s="277" customFormat="1" ht="14.25">
      <c r="A979" s="119" t="s">
        <v>3139</v>
      </c>
      <c r="B979" s="84" t="s">
        <v>2819</v>
      </c>
      <c r="C979" s="2" t="s">
        <v>2557</v>
      </c>
      <c r="D979" s="332">
        <v>30</v>
      </c>
      <c r="E979" s="465">
        <v>52</v>
      </c>
      <c r="F979" s="466">
        <f t="shared" si="9"/>
        <v>1560</v>
      </c>
      <c r="G979" s="91"/>
    </row>
    <row r="980" spans="1:7" s="277" customFormat="1" ht="12.75">
      <c r="A980" s="131"/>
      <c r="B980" s="84"/>
      <c r="C980" s="2"/>
      <c r="D980" s="332"/>
      <c r="E980" s="465"/>
      <c r="F980" s="466">
        <f t="shared" si="9"/>
        <v>0</v>
      </c>
      <c r="G980" s="91"/>
    </row>
    <row r="981" spans="1:7" s="277" customFormat="1" ht="14.25">
      <c r="A981" s="127" t="s">
        <v>3140</v>
      </c>
      <c r="B981" s="84" t="s">
        <v>2820</v>
      </c>
      <c r="C981" s="2" t="s">
        <v>2557</v>
      </c>
      <c r="D981" s="332">
        <v>25</v>
      </c>
      <c r="E981" s="465">
        <v>52</v>
      </c>
      <c r="F981" s="466">
        <f t="shared" si="9"/>
        <v>1300</v>
      </c>
      <c r="G981" s="91"/>
    </row>
    <row r="982" spans="1:7" s="277" customFormat="1" ht="12.75">
      <c r="A982" s="119"/>
      <c r="B982" s="84"/>
      <c r="C982" s="2"/>
      <c r="D982" s="332"/>
      <c r="E982" s="465"/>
      <c r="F982" s="466">
        <f t="shared" si="9"/>
        <v>0</v>
      </c>
      <c r="G982" s="91"/>
    </row>
    <row r="983" spans="1:7" s="277" customFormat="1" ht="14.25">
      <c r="A983" s="119" t="s">
        <v>3141</v>
      </c>
      <c r="B983" s="84" t="s">
        <v>2821</v>
      </c>
      <c r="C983" s="2" t="s">
        <v>2557</v>
      </c>
      <c r="D983" s="332">
        <v>18</v>
      </c>
      <c r="E983" s="465">
        <v>52</v>
      </c>
      <c r="F983" s="466">
        <f t="shared" si="9"/>
        <v>936</v>
      </c>
      <c r="G983" s="91"/>
    </row>
    <row r="984" spans="1:7" s="277" customFormat="1" ht="12.75">
      <c r="A984" s="119"/>
      <c r="B984" s="84"/>
      <c r="C984" s="2"/>
      <c r="D984" s="332"/>
      <c r="E984" s="465"/>
      <c r="F984" s="466">
        <f t="shared" si="9"/>
        <v>0</v>
      </c>
      <c r="G984" s="91"/>
    </row>
    <row r="985" spans="1:7" s="277" customFormat="1" ht="14.25">
      <c r="A985" s="119" t="s">
        <v>3142</v>
      </c>
      <c r="B985" s="84" t="s">
        <v>2822</v>
      </c>
      <c r="C985" s="2" t="s">
        <v>2557</v>
      </c>
      <c r="D985" s="332">
        <v>18</v>
      </c>
      <c r="E985" s="465">
        <v>52</v>
      </c>
      <c r="F985" s="466">
        <f t="shared" si="9"/>
        <v>936</v>
      </c>
      <c r="G985" s="91"/>
    </row>
    <row r="986" spans="1:7" s="277" customFormat="1" ht="12.75">
      <c r="A986" s="127"/>
      <c r="B986" s="84"/>
      <c r="C986" s="2"/>
      <c r="D986" s="332"/>
      <c r="E986" s="465"/>
      <c r="F986" s="466">
        <f t="shared" si="9"/>
        <v>0</v>
      </c>
      <c r="G986" s="91"/>
    </row>
    <row r="987" spans="1:7" s="277" customFormat="1" ht="14.25">
      <c r="A987" s="119" t="s">
        <v>3143</v>
      </c>
      <c r="B987" s="84" t="s">
        <v>2823</v>
      </c>
      <c r="C987" s="2" t="s">
        <v>2557</v>
      </c>
      <c r="D987" s="332">
        <v>12</v>
      </c>
      <c r="E987" s="465">
        <v>52</v>
      </c>
      <c r="F987" s="466">
        <f t="shared" si="9"/>
        <v>624</v>
      </c>
      <c r="G987" s="91"/>
    </row>
    <row r="988" spans="1:7" s="277" customFormat="1" ht="12.75">
      <c r="A988" s="119"/>
      <c r="B988" s="84"/>
      <c r="C988" s="2"/>
      <c r="D988" s="332"/>
      <c r="E988" s="465"/>
      <c r="F988" s="466">
        <f t="shared" si="9"/>
        <v>0</v>
      </c>
      <c r="G988" s="91"/>
    </row>
    <row r="989" spans="1:7" s="277" customFormat="1" ht="12.75">
      <c r="A989" s="131"/>
      <c r="B989" s="109" t="s">
        <v>181</v>
      </c>
      <c r="C989" s="2"/>
      <c r="D989" s="332"/>
      <c r="E989" s="465"/>
      <c r="F989" s="466">
        <f t="shared" si="9"/>
        <v>0</v>
      </c>
      <c r="G989" s="91"/>
    </row>
    <row r="990" spans="1:7" s="277" customFormat="1" ht="12.75">
      <c r="A990" s="127"/>
      <c r="B990" s="84"/>
      <c r="C990" s="2"/>
      <c r="D990" s="332"/>
      <c r="E990" s="465"/>
      <c r="F990" s="466">
        <f t="shared" si="9"/>
        <v>0</v>
      </c>
      <c r="G990" s="91"/>
    </row>
    <row r="991" spans="1:7" s="277" customFormat="1" ht="12.75">
      <c r="A991" s="119" t="s">
        <v>182</v>
      </c>
      <c r="B991" s="84" t="s">
        <v>2824</v>
      </c>
      <c r="C991" s="2" t="s">
        <v>2557</v>
      </c>
      <c r="D991" s="332">
        <v>100</v>
      </c>
      <c r="E991" s="465">
        <v>40</v>
      </c>
      <c r="F991" s="466">
        <f t="shared" si="9"/>
        <v>4000</v>
      </c>
      <c r="G991" s="91"/>
    </row>
    <row r="992" spans="1:7" s="277" customFormat="1" ht="12.75">
      <c r="A992" s="119"/>
      <c r="B992" s="84"/>
      <c r="C992" s="2"/>
      <c r="D992" s="332"/>
      <c r="E992" s="465"/>
      <c r="F992" s="466">
        <f t="shared" si="9"/>
        <v>0</v>
      </c>
      <c r="G992" s="91"/>
    </row>
    <row r="993" spans="1:7" s="277" customFormat="1" ht="12.75">
      <c r="A993" s="119" t="s">
        <v>183</v>
      </c>
      <c r="B993" s="71" t="s">
        <v>2825</v>
      </c>
      <c r="C993" s="2" t="s">
        <v>2557</v>
      </c>
      <c r="D993" s="332">
        <v>450</v>
      </c>
      <c r="E993" s="465">
        <v>35</v>
      </c>
      <c r="F993" s="466">
        <f t="shared" si="9"/>
        <v>15750</v>
      </c>
      <c r="G993" s="91"/>
    </row>
    <row r="994" spans="1:7" s="277" customFormat="1" ht="12.75">
      <c r="A994" s="119"/>
      <c r="B994" s="132"/>
      <c r="C994" s="2"/>
      <c r="D994" s="332"/>
      <c r="E994" s="465"/>
      <c r="F994" s="466">
        <f t="shared" si="9"/>
        <v>0</v>
      </c>
      <c r="G994" s="91"/>
    </row>
    <row r="995" spans="1:7" s="277" customFormat="1" ht="12.75">
      <c r="A995" s="119" t="s">
        <v>184</v>
      </c>
      <c r="B995" s="84" t="s">
        <v>2826</v>
      </c>
      <c r="C995" s="2" t="s">
        <v>2557</v>
      </c>
      <c r="D995" s="332">
        <v>800</v>
      </c>
      <c r="E995" s="465">
        <v>30</v>
      </c>
      <c r="F995" s="466">
        <f t="shared" si="9"/>
        <v>24000</v>
      </c>
      <c r="G995" s="91"/>
    </row>
    <row r="996" spans="1:7" s="277" customFormat="1" ht="12.75">
      <c r="A996" s="119"/>
      <c r="B996" s="84"/>
      <c r="C996" s="2"/>
      <c r="D996" s="332"/>
      <c r="E996" s="465"/>
      <c r="F996" s="466">
        <f t="shared" si="9"/>
        <v>0</v>
      </c>
      <c r="G996" s="91"/>
    </row>
    <row r="997" spans="1:7" s="277" customFormat="1" ht="25.5">
      <c r="A997" s="119" t="s">
        <v>185</v>
      </c>
      <c r="B997" s="84" t="s">
        <v>186</v>
      </c>
      <c r="C997" s="2"/>
      <c r="D997" s="332"/>
      <c r="E997" s="465"/>
      <c r="F997" s="466">
        <f t="shared" si="9"/>
        <v>0</v>
      </c>
      <c r="G997" s="91"/>
    </row>
    <row r="998" spans="1:7" s="277" customFormat="1" ht="14.25" customHeight="1">
      <c r="A998" s="131"/>
      <c r="B998" s="84" t="s">
        <v>2827</v>
      </c>
      <c r="G998" s="91"/>
    </row>
    <row r="999" spans="1:7" s="277" customFormat="1" ht="12.75">
      <c r="A999" s="127"/>
      <c r="B999" s="84" t="s">
        <v>2828</v>
      </c>
      <c r="C999" s="2" t="s">
        <v>2557</v>
      </c>
      <c r="D999" s="332">
        <v>600</v>
      </c>
      <c r="E999" s="465">
        <v>90</v>
      </c>
      <c r="F999" s="466">
        <f>D999*E999</f>
        <v>54000</v>
      </c>
      <c r="G999" s="91"/>
    </row>
    <row r="1000" spans="1:7" s="277" customFormat="1" ht="12.75">
      <c r="A1000" s="119"/>
      <c r="B1000" s="84"/>
      <c r="C1000" s="2"/>
      <c r="D1000" s="332"/>
      <c r="E1000" s="465"/>
      <c r="F1000" s="466">
        <f t="shared" si="9"/>
        <v>0</v>
      </c>
      <c r="G1000" s="91"/>
    </row>
    <row r="1001" spans="1:7" s="277" customFormat="1" ht="12.75">
      <c r="A1001" s="119"/>
      <c r="B1001" s="109" t="s">
        <v>188</v>
      </c>
      <c r="C1001" s="2"/>
      <c r="D1001" s="332"/>
      <c r="E1001" s="465"/>
      <c r="F1001" s="466">
        <f t="shared" si="9"/>
        <v>0</v>
      </c>
      <c r="G1001" s="91"/>
    </row>
    <row r="1002" spans="1:7" s="277" customFormat="1" ht="12.75">
      <c r="A1002" s="119"/>
      <c r="B1002" s="71"/>
      <c r="C1002" s="2"/>
      <c r="D1002" s="332"/>
      <c r="E1002" s="465"/>
      <c r="F1002" s="466">
        <f t="shared" si="9"/>
        <v>0</v>
      </c>
      <c r="G1002" s="91"/>
    </row>
    <row r="1003" spans="1:7" s="277" customFormat="1" ht="12.75">
      <c r="A1003" s="119" t="s">
        <v>189</v>
      </c>
      <c r="B1003" s="132" t="s">
        <v>3018</v>
      </c>
      <c r="C1003" s="2" t="s">
        <v>2556</v>
      </c>
      <c r="D1003" s="332">
        <v>18</v>
      </c>
      <c r="E1003" s="465">
        <v>2400</v>
      </c>
      <c r="F1003" s="466">
        <f t="shared" si="9"/>
        <v>43200</v>
      </c>
      <c r="G1003" s="91"/>
    </row>
    <row r="1004" spans="1:7" s="277" customFormat="1" ht="12.75">
      <c r="A1004" s="119"/>
      <c r="B1004" s="84"/>
      <c r="C1004" s="2"/>
      <c r="D1004" s="332"/>
      <c r="E1004" s="465"/>
      <c r="F1004" s="466">
        <f t="shared" si="9"/>
        <v>0</v>
      </c>
      <c r="G1004" s="91"/>
    </row>
    <row r="1005" spans="1:7" s="277" customFormat="1" ht="12.75">
      <c r="A1005" s="119"/>
      <c r="B1005" s="109" t="s">
        <v>190</v>
      </c>
      <c r="C1005" s="2"/>
      <c r="D1005" s="332"/>
      <c r="E1005" s="465"/>
      <c r="F1005" s="466">
        <f t="shared" si="9"/>
        <v>0</v>
      </c>
      <c r="G1005" s="91"/>
    </row>
    <row r="1006" spans="1:7" s="277" customFormat="1" ht="12.75">
      <c r="A1006" s="119"/>
      <c r="B1006" s="84"/>
      <c r="C1006" s="2"/>
      <c r="D1006" s="332"/>
      <c r="E1006" s="465"/>
      <c r="F1006" s="466">
        <f t="shared" si="9"/>
        <v>0</v>
      </c>
      <c r="G1006" s="91"/>
    </row>
    <row r="1007" spans="1:7" s="277" customFormat="1" ht="25.5">
      <c r="A1007" s="119" t="s">
        <v>187</v>
      </c>
      <c r="B1007" s="84" t="s">
        <v>2829</v>
      </c>
      <c r="C1007" s="2"/>
      <c r="D1007" s="332"/>
      <c r="E1007" s="465"/>
      <c r="F1007" s="466">
        <f t="shared" si="9"/>
        <v>0</v>
      </c>
      <c r="G1007" s="91"/>
    </row>
    <row r="1008" spans="1:7" s="277" customFormat="1" ht="25.5">
      <c r="A1008" s="127"/>
      <c r="B1008" s="84" t="s">
        <v>2326</v>
      </c>
      <c r="C1008" s="2" t="s">
        <v>1561</v>
      </c>
      <c r="D1008" s="332">
        <v>18</v>
      </c>
      <c r="E1008" s="465">
        <f>'Cost break dow.'!V787</f>
        <v>238.74125688437496</v>
      </c>
      <c r="F1008" s="466">
        <f t="shared" si="9"/>
        <v>4297.342623918749</v>
      </c>
      <c r="G1008" s="91"/>
    </row>
    <row r="1009" spans="1:6" s="43" customFormat="1" ht="12.75" customHeight="1">
      <c r="A1009" s="17"/>
      <c r="B1009" s="54"/>
      <c r="C1009" s="19"/>
      <c r="D1009" s="298"/>
      <c r="E1009" s="465"/>
      <c r="F1009" s="466">
        <f t="shared" si="9"/>
        <v>0</v>
      </c>
    </row>
    <row r="1010" spans="1:6" s="43" customFormat="1" ht="12.75">
      <c r="A1010" s="17"/>
      <c r="B1010" s="67" t="s">
        <v>1066</v>
      </c>
      <c r="C1010" s="19"/>
      <c r="D1010" s="298"/>
      <c r="E1010" s="465"/>
      <c r="F1010" s="466">
        <f>SUM(F359:F1009)</f>
        <v>950999.7891430994</v>
      </c>
    </row>
    <row r="1011" spans="1:7" s="66" customFormat="1" ht="12.75">
      <c r="A1011" s="105">
        <v>10</v>
      </c>
      <c r="B1011" s="69" t="s">
        <v>3167</v>
      </c>
      <c r="C1011" s="276"/>
      <c r="D1011" s="319"/>
      <c r="E1011" s="465"/>
      <c r="F1011" s="466">
        <f t="shared" si="9"/>
        <v>0</v>
      </c>
      <c r="G1011" s="70"/>
    </row>
    <row r="1012" spans="1:7" s="66" customFormat="1" ht="12.75">
      <c r="A1012" s="105"/>
      <c r="B1012" s="69"/>
      <c r="C1012" s="276"/>
      <c r="D1012" s="319"/>
      <c r="E1012" s="465"/>
      <c r="F1012" s="466">
        <f t="shared" si="9"/>
        <v>0</v>
      </c>
      <c r="G1012" s="70"/>
    </row>
    <row r="1013" spans="1:6" s="7" customFormat="1" ht="12.75">
      <c r="A1013" s="243">
        <v>10.1</v>
      </c>
      <c r="B1013" s="28" t="s">
        <v>249</v>
      </c>
      <c r="C1013" s="14"/>
      <c r="D1013" s="303"/>
      <c r="E1013" s="465"/>
      <c r="F1013" s="466">
        <f t="shared" si="9"/>
        <v>0</v>
      </c>
    </row>
    <row r="1014" spans="1:6" ht="12.75">
      <c r="A1014" s="244"/>
      <c r="B1014" s="27"/>
      <c r="C1014" s="19"/>
      <c r="D1014" s="301"/>
      <c r="E1014" s="465"/>
      <c r="F1014" s="466">
        <f t="shared" si="9"/>
        <v>0</v>
      </c>
    </row>
    <row r="1015" spans="1:6" ht="89.25">
      <c r="A1015" s="244"/>
      <c r="B1015" s="27" t="s">
        <v>2302</v>
      </c>
      <c r="C1015" s="19"/>
      <c r="D1015" s="301"/>
      <c r="E1015" s="465"/>
      <c r="F1015" s="466">
        <f aca="true" t="shared" si="10" ref="F1015:F1078">D1015*E1015</f>
        <v>0</v>
      </c>
    </row>
    <row r="1016" spans="1:6" ht="12.75">
      <c r="A1016" s="244"/>
      <c r="B1016" s="27"/>
      <c r="C1016" s="19"/>
      <c r="D1016" s="301"/>
      <c r="E1016" s="465"/>
      <c r="F1016" s="466">
        <f t="shared" si="10"/>
        <v>0</v>
      </c>
    </row>
    <row r="1017" spans="1:6" ht="63.75">
      <c r="A1017" s="244" t="s">
        <v>2303</v>
      </c>
      <c r="B1017" s="27" t="s">
        <v>2304</v>
      </c>
      <c r="C1017" s="19"/>
      <c r="D1017" s="301"/>
      <c r="E1017" s="465"/>
      <c r="F1017" s="466">
        <f t="shared" si="10"/>
        <v>0</v>
      </c>
    </row>
    <row r="1018" spans="1:6" ht="12.75">
      <c r="A1018" s="244"/>
      <c r="B1018" s="27" t="s">
        <v>2305</v>
      </c>
      <c r="C1018" s="19" t="s">
        <v>2556</v>
      </c>
      <c r="D1018" s="301">
        <v>36</v>
      </c>
      <c r="E1018" s="465">
        <f>'Cost break dow.'!V606</f>
        <v>2190.4189255399483</v>
      </c>
      <c r="F1018" s="466">
        <f t="shared" si="10"/>
        <v>78855.08131943813</v>
      </c>
    </row>
    <row r="1019" spans="1:6" ht="12.75">
      <c r="A1019" s="244"/>
      <c r="B1019" s="27"/>
      <c r="C1019" s="19"/>
      <c r="D1019" s="301"/>
      <c r="E1019" s="465"/>
      <c r="F1019" s="466">
        <f t="shared" si="10"/>
        <v>0</v>
      </c>
    </row>
    <row r="1020" spans="1:6" ht="38.25">
      <c r="A1020" s="244" t="s">
        <v>2306</v>
      </c>
      <c r="B1020" s="27" t="s">
        <v>2415</v>
      </c>
      <c r="C1020" s="19" t="s">
        <v>2556</v>
      </c>
      <c r="D1020" s="301">
        <v>36</v>
      </c>
      <c r="E1020" s="465">
        <f>'Cost break dow.'!V612</f>
        <v>2318.0214084088225</v>
      </c>
      <c r="F1020" s="466">
        <f t="shared" si="10"/>
        <v>83448.77070271761</v>
      </c>
    </row>
    <row r="1021" spans="1:6" ht="12.75">
      <c r="A1021" s="244"/>
      <c r="B1021" s="27"/>
      <c r="C1021" s="19"/>
      <c r="D1021" s="301"/>
      <c r="E1021" s="465"/>
      <c r="F1021" s="466">
        <f t="shared" si="10"/>
        <v>0</v>
      </c>
    </row>
    <row r="1022" spans="1:6" ht="38.25">
      <c r="A1022" s="244" t="s">
        <v>2416</v>
      </c>
      <c r="B1022" s="27" t="s">
        <v>2417</v>
      </c>
      <c r="C1022" s="19" t="s">
        <v>2556</v>
      </c>
      <c r="D1022" s="301">
        <v>36</v>
      </c>
      <c r="E1022" s="465">
        <f>'Cost break dow.'!V652</f>
        <v>156.29214717746865</v>
      </c>
      <c r="F1022" s="466">
        <f t="shared" si="10"/>
        <v>5626.5172983888715</v>
      </c>
    </row>
    <row r="1023" spans="1:6" ht="12.75">
      <c r="A1023" s="244"/>
      <c r="B1023" s="27"/>
      <c r="C1023" s="19"/>
      <c r="D1023" s="301"/>
      <c r="E1023" s="465"/>
      <c r="F1023" s="466">
        <f t="shared" si="10"/>
        <v>0</v>
      </c>
    </row>
    <row r="1024" spans="1:6" ht="51">
      <c r="A1024" s="244" t="s">
        <v>2418</v>
      </c>
      <c r="B1024" s="27" t="s">
        <v>2068</v>
      </c>
      <c r="C1024" s="19" t="s">
        <v>2556</v>
      </c>
      <c r="D1024" s="301">
        <v>36</v>
      </c>
      <c r="E1024" s="465">
        <v>350</v>
      </c>
      <c r="F1024" s="466">
        <f t="shared" si="10"/>
        <v>12600</v>
      </c>
    </row>
    <row r="1025" spans="1:6" ht="12.75">
      <c r="A1025" s="244"/>
      <c r="B1025" s="27"/>
      <c r="C1025" s="19"/>
      <c r="D1025" s="301"/>
      <c r="E1025" s="465"/>
      <c r="F1025" s="466">
        <f t="shared" si="10"/>
        <v>0</v>
      </c>
    </row>
    <row r="1026" spans="1:6" ht="45" customHeight="1">
      <c r="A1026" s="244" t="s">
        <v>2069</v>
      </c>
      <c r="B1026" s="27" t="s">
        <v>2070</v>
      </c>
      <c r="C1026" s="19" t="s">
        <v>2556</v>
      </c>
      <c r="D1026" s="301">
        <v>36</v>
      </c>
      <c r="E1026" s="465">
        <f>'Cost break dow.'!V662</f>
        <v>156.29214717746865</v>
      </c>
      <c r="F1026" s="466">
        <f t="shared" si="10"/>
        <v>5626.5172983888715</v>
      </c>
    </row>
    <row r="1027" spans="1:6" ht="12.75">
      <c r="A1027" s="244"/>
      <c r="B1027" s="27"/>
      <c r="C1027" s="19"/>
      <c r="D1027" s="301"/>
      <c r="E1027" s="465"/>
      <c r="F1027" s="466">
        <f t="shared" si="10"/>
        <v>0</v>
      </c>
    </row>
    <row r="1028" spans="1:6" ht="51">
      <c r="A1028" s="244" t="s">
        <v>2071</v>
      </c>
      <c r="B1028" s="27" t="s">
        <v>2072</v>
      </c>
      <c r="C1028" s="19" t="s">
        <v>2556</v>
      </c>
      <c r="D1028" s="301">
        <v>36</v>
      </c>
      <c r="E1028" s="465">
        <f>'Cost break dow.'!V657</f>
        <v>156.29214717746865</v>
      </c>
      <c r="F1028" s="466">
        <f t="shared" si="10"/>
        <v>5626.5172983888715</v>
      </c>
    </row>
    <row r="1029" spans="1:6" ht="12.75">
      <c r="A1029" s="244"/>
      <c r="B1029" s="27"/>
      <c r="C1029" s="19"/>
      <c r="D1029" s="301"/>
      <c r="E1029" s="465"/>
      <c r="F1029" s="466">
        <f t="shared" si="10"/>
        <v>0</v>
      </c>
    </row>
    <row r="1030" spans="1:6" ht="38.25">
      <c r="A1030" s="244" t="s">
        <v>2073</v>
      </c>
      <c r="B1030" s="27" t="s">
        <v>2074</v>
      </c>
      <c r="C1030" s="19"/>
      <c r="D1030" s="301"/>
      <c r="E1030" s="465"/>
      <c r="F1030" s="466">
        <f t="shared" si="10"/>
        <v>0</v>
      </c>
    </row>
    <row r="1031" spans="1:6" ht="12.75">
      <c r="A1031" s="244"/>
      <c r="B1031" s="27" t="s">
        <v>2075</v>
      </c>
      <c r="C1031" s="19" t="s">
        <v>2556</v>
      </c>
      <c r="D1031" s="301">
        <v>36</v>
      </c>
      <c r="E1031" s="465">
        <f>'Cost break dow.'!V667</f>
        <v>63.64874149151863</v>
      </c>
      <c r="F1031" s="466">
        <f t="shared" si="10"/>
        <v>2291.3546936946705</v>
      </c>
    </row>
    <row r="1032" spans="1:6" ht="12.75">
      <c r="A1032" s="244"/>
      <c r="B1032" s="27"/>
      <c r="C1032" s="19"/>
      <c r="D1032" s="301"/>
      <c r="E1032" s="465"/>
      <c r="F1032" s="466">
        <f t="shared" si="10"/>
        <v>0</v>
      </c>
    </row>
    <row r="1033" spans="1:6" ht="81" customHeight="1">
      <c r="A1033" s="244" t="s">
        <v>2076</v>
      </c>
      <c r="B1033" s="27" t="s">
        <v>460</v>
      </c>
      <c r="C1033" s="19" t="s">
        <v>2556</v>
      </c>
      <c r="D1033" s="301">
        <v>6</v>
      </c>
      <c r="E1033" s="465">
        <v>16500</v>
      </c>
      <c r="F1033" s="466">
        <f t="shared" si="10"/>
        <v>99000</v>
      </c>
    </row>
    <row r="1034" spans="1:6" ht="12.75">
      <c r="A1034" s="244"/>
      <c r="B1034" s="27"/>
      <c r="C1034" s="19"/>
      <c r="D1034" s="301"/>
      <c r="E1034" s="465"/>
      <c r="F1034" s="466">
        <f t="shared" si="10"/>
        <v>0</v>
      </c>
    </row>
    <row r="1035" spans="1:6" ht="38.25">
      <c r="A1035" s="244" t="s">
        <v>461</v>
      </c>
      <c r="B1035" s="27" t="s">
        <v>462</v>
      </c>
      <c r="C1035" s="19"/>
      <c r="D1035" s="301"/>
      <c r="E1035" s="465"/>
      <c r="F1035" s="466">
        <f t="shared" si="10"/>
        <v>0</v>
      </c>
    </row>
    <row r="1036" spans="1:6" ht="12.75">
      <c r="A1036" s="244"/>
      <c r="B1036" s="27" t="s">
        <v>2075</v>
      </c>
      <c r="C1036" s="19" t="s">
        <v>2556</v>
      </c>
      <c r="D1036" s="301">
        <v>8</v>
      </c>
      <c r="E1036" s="465">
        <v>150</v>
      </c>
      <c r="F1036" s="466">
        <f t="shared" si="10"/>
        <v>1200</v>
      </c>
    </row>
    <row r="1037" spans="1:6" ht="12.75">
      <c r="A1037" s="244"/>
      <c r="B1037" s="27"/>
      <c r="C1037" s="19"/>
      <c r="D1037" s="301"/>
      <c r="E1037" s="465"/>
      <c r="F1037" s="466">
        <f t="shared" si="10"/>
        <v>0</v>
      </c>
    </row>
    <row r="1038" spans="1:6" ht="12.75">
      <c r="A1038" s="244" t="s">
        <v>463</v>
      </c>
      <c r="B1038" s="27" t="s">
        <v>464</v>
      </c>
      <c r="C1038" s="19" t="s">
        <v>2556</v>
      </c>
      <c r="D1038" s="301">
        <v>7</v>
      </c>
      <c r="E1038" s="465">
        <v>1850</v>
      </c>
      <c r="F1038" s="466">
        <f t="shared" si="10"/>
        <v>12950</v>
      </c>
    </row>
    <row r="1039" spans="1:6" ht="12.75">
      <c r="A1039" s="244"/>
      <c r="B1039" s="27"/>
      <c r="C1039" s="19"/>
      <c r="D1039" s="301"/>
      <c r="E1039" s="465"/>
      <c r="F1039" s="466">
        <f t="shared" si="10"/>
        <v>0</v>
      </c>
    </row>
    <row r="1040" spans="1:6" ht="12.75">
      <c r="A1040" s="243">
        <v>10.2</v>
      </c>
      <c r="B1040" s="28" t="s">
        <v>465</v>
      </c>
      <c r="C1040" s="19"/>
      <c r="D1040" s="301"/>
      <c r="E1040" s="465"/>
      <c r="F1040" s="466">
        <f t="shared" si="10"/>
        <v>0</v>
      </c>
    </row>
    <row r="1041" spans="1:6" ht="12.75">
      <c r="A1041" s="244"/>
      <c r="B1041" s="27"/>
      <c r="C1041" s="19"/>
      <c r="D1041" s="301"/>
      <c r="E1041" s="465"/>
      <c r="F1041" s="466">
        <f t="shared" si="10"/>
        <v>0</v>
      </c>
    </row>
    <row r="1042" spans="1:6" ht="93.75" customHeight="1">
      <c r="A1042" s="244"/>
      <c r="B1042" s="27" t="s">
        <v>466</v>
      </c>
      <c r="C1042" s="19"/>
      <c r="D1042" s="301"/>
      <c r="E1042" s="465"/>
      <c r="F1042" s="466">
        <f t="shared" si="10"/>
        <v>0</v>
      </c>
    </row>
    <row r="1043" spans="1:6" ht="12.75">
      <c r="A1043" s="244"/>
      <c r="B1043" s="27"/>
      <c r="C1043" s="19"/>
      <c r="D1043" s="301"/>
      <c r="E1043" s="465"/>
      <c r="F1043" s="466">
        <f t="shared" si="10"/>
        <v>0</v>
      </c>
    </row>
    <row r="1044" spans="1:6" ht="51">
      <c r="A1044" s="244" t="s">
        <v>467</v>
      </c>
      <c r="B1044" s="27" t="s">
        <v>468</v>
      </c>
      <c r="C1044" s="19"/>
      <c r="D1044" s="301"/>
      <c r="E1044" s="465"/>
      <c r="F1044" s="466">
        <f t="shared" si="10"/>
        <v>0</v>
      </c>
    </row>
    <row r="1045" spans="1:6" ht="12.75">
      <c r="A1045" s="244"/>
      <c r="B1045" s="27" t="s">
        <v>1398</v>
      </c>
      <c r="C1045" s="19" t="s">
        <v>92</v>
      </c>
      <c r="D1045" s="301">
        <v>62</v>
      </c>
      <c r="E1045" s="465">
        <f>'Cost break dow.'!V519</f>
        <v>58.74649996816975</v>
      </c>
      <c r="F1045" s="466">
        <f t="shared" si="10"/>
        <v>3642.2829980265246</v>
      </c>
    </row>
    <row r="1046" spans="1:6" ht="12.75">
      <c r="A1046" s="244"/>
      <c r="B1046" s="27" t="s">
        <v>1399</v>
      </c>
      <c r="C1046" s="19" t="s">
        <v>92</v>
      </c>
      <c r="D1046" s="301">
        <v>144</v>
      </c>
      <c r="E1046" s="465">
        <f>'Cost break dow.'!V525</f>
        <v>70.68217174942471</v>
      </c>
      <c r="F1046" s="466">
        <f t="shared" si="10"/>
        <v>10178.232731917158</v>
      </c>
    </row>
    <row r="1047" spans="1:6" ht="12.75">
      <c r="A1047" s="244"/>
      <c r="B1047" s="27" t="s">
        <v>1400</v>
      </c>
      <c r="C1047" s="19" t="s">
        <v>92</v>
      </c>
      <c r="D1047" s="301">
        <v>47</v>
      </c>
      <c r="E1047" s="465">
        <f>'Cost break dow.'!V531</f>
        <v>88.236257432808</v>
      </c>
      <c r="F1047" s="466">
        <f t="shared" si="10"/>
        <v>4147.1040993419765</v>
      </c>
    </row>
    <row r="1048" spans="1:6" ht="12.75">
      <c r="A1048" s="244"/>
      <c r="B1048" s="27" t="s">
        <v>1007</v>
      </c>
      <c r="C1048" s="19" t="s">
        <v>92</v>
      </c>
      <c r="D1048" s="301">
        <v>55</v>
      </c>
      <c r="E1048" s="465">
        <f>'Cost break dow.'!V537</f>
        <v>531.5534563341796</v>
      </c>
      <c r="F1048" s="466">
        <f t="shared" si="10"/>
        <v>29235.440098379877</v>
      </c>
    </row>
    <row r="1049" spans="1:6" ht="12.75">
      <c r="A1049" s="244"/>
      <c r="B1049" s="27" t="s">
        <v>1008</v>
      </c>
      <c r="C1049" s="19" t="s">
        <v>92</v>
      </c>
      <c r="D1049" s="301">
        <v>30</v>
      </c>
      <c r="E1049" s="465">
        <f>'Cost break dow.'!V543</f>
        <v>138.9602631857995</v>
      </c>
      <c r="F1049" s="466">
        <f t="shared" si="10"/>
        <v>4168.807895573985</v>
      </c>
    </row>
    <row r="1050" spans="1:6" ht="12.75">
      <c r="A1050" s="244"/>
      <c r="B1050" s="27" t="s">
        <v>1009</v>
      </c>
      <c r="C1050" s="19" t="s">
        <v>92</v>
      </c>
      <c r="D1050" s="301">
        <v>13</v>
      </c>
      <c r="E1050" s="465">
        <f>'Cost break dow.'!V549</f>
        <v>178.97099731676602</v>
      </c>
      <c r="F1050" s="466">
        <f t="shared" si="10"/>
        <v>2326.6229651179583</v>
      </c>
    </row>
    <row r="1051" spans="1:6" ht="12.75">
      <c r="A1051" s="244"/>
      <c r="B1051" s="27" t="s">
        <v>1401</v>
      </c>
      <c r="C1051" s="19" t="s">
        <v>92</v>
      </c>
      <c r="D1051" s="301">
        <v>11</v>
      </c>
      <c r="E1051" s="465">
        <v>120</v>
      </c>
      <c r="F1051" s="466">
        <f t="shared" si="10"/>
        <v>1320</v>
      </c>
    </row>
    <row r="1052" spans="1:6" ht="12.75">
      <c r="A1052" s="244"/>
      <c r="B1052" s="27"/>
      <c r="C1052" s="19"/>
      <c r="D1052" s="301"/>
      <c r="E1052" s="465"/>
      <c r="F1052" s="466">
        <f t="shared" si="10"/>
        <v>0</v>
      </c>
    </row>
    <row r="1053" spans="1:6" ht="63.75">
      <c r="A1053" s="244" t="s">
        <v>1402</v>
      </c>
      <c r="B1053" s="27" t="s">
        <v>2981</v>
      </c>
      <c r="C1053" s="19"/>
      <c r="D1053" s="301"/>
      <c r="E1053" s="465"/>
      <c r="F1053" s="466">
        <f t="shared" si="10"/>
        <v>0</v>
      </c>
    </row>
    <row r="1054" spans="1:6" ht="12.75">
      <c r="A1054" s="244"/>
      <c r="B1054" s="27" t="s">
        <v>2982</v>
      </c>
      <c r="C1054" s="19" t="s">
        <v>2556</v>
      </c>
      <c r="D1054" s="301">
        <v>72</v>
      </c>
      <c r="E1054" s="465">
        <v>75</v>
      </c>
      <c r="F1054" s="466">
        <f t="shared" si="10"/>
        <v>5400</v>
      </c>
    </row>
    <row r="1055" spans="1:6" ht="12.75">
      <c r="A1055" s="244"/>
      <c r="B1055" s="27"/>
      <c r="C1055" s="19"/>
      <c r="D1055" s="301"/>
      <c r="E1055" s="465"/>
      <c r="F1055" s="466">
        <f t="shared" si="10"/>
        <v>0</v>
      </c>
    </row>
    <row r="1056" spans="1:6" ht="38.25">
      <c r="A1056" s="244" t="s">
        <v>2983</v>
      </c>
      <c r="B1056" s="27" t="s">
        <v>59</v>
      </c>
      <c r="C1056" s="19"/>
      <c r="D1056" s="301"/>
      <c r="E1056" s="465"/>
      <c r="F1056" s="466">
        <f t="shared" si="10"/>
        <v>0</v>
      </c>
    </row>
    <row r="1057" spans="1:6" ht="12.75">
      <c r="A1057" s="244"/>
      <c r="B1057" s="27" t="s">
        <v>1399</v>
      </c>
      <c r="C1057" s="19" t="s">
        <v>92</v>
      </c>
      <c r="D1057" s="301">
        <v>18</v>
      </c>
      <c r="E1057" s="465">
        <f>'Cost break dow.'!V569</f>
        <v>435.0801810380286</v>
      </c>
      <c r="F1057" s="466">
        <f t="shared" si="10"/>
        <v>7831.443258684515</v>
      </c>
    </row>
    <row r="1058" spans="1:6" ht="12.75">
      <c r="A1058" s="244"/>
      <c r="B1058" s="27" t="s">
        <v>1400</v>
      </c>
      <c r="C1058" s="19" t="s">
        <v>92</v>
      </c>
      <c r="D1058" s="301">
        <v>7</v>
      </c>
      <c r="E1058" s="465">
        <f>'Cost break dow.'!V574</f>
        <v>462.8345509248182</v>
      </c>
      <c r="F1058" s="466">
        <f t="shared" si="10"/>
        <v>3239.841856473727</v>
      </c>
    </row>
    <row r="1059" spans="1:6" ht="12.75">
      <c r="A1059" s="244"/>
      <c r="B1059" s="27" t="s">
        <v>1007</v>
      </c>
      <c r="C1059" s="19" t="s">
        <v>92</v>
      </c>
      <c r="D1059" s="301">
        <v>2</v>
      </c>
      <c r="E1059" s="465">
        <f>'Cost break dow.'!V579</f>
        <v>465.53124002481815</v>
      </c>
      <c r="F1059" s="466">
        <f t="shared" si="10"/>
        <v>931.0624800496363</v>
      </c>
    </row>
    <row r="1060" spans="1:6" ht="12.75">
      <c r="A1060" s="244"/>
      <c r="B1060" s="27" t="s">
        <v>1008</v>
      </c>
      <c r="C1060" s="19" t="s">
        <v>92</v>
      </c>
      <c r="D1060" s="301">
        <v>1</v>
      </c>
      <c r="E1060" s="465">
        <f>'Cost break dow.'!V584</f>
        <v>87.58055457905819</v>
      </c>
      <c r="F1060" s="466">
        <f t="shared" si="10"/>
        <v>87.58055457905819</v>
      </c>
    </row>
    <row r="1061" spans="1:6" ht="12.75">
      <c r="A1061" s="244"/>
      <c r="B1061" s="27" t="s">
        <v>1009</v>
      </c>
      <c r="C1061" s="19" t="s">
        <v>92</v>
      </c>
      <c r="D1061" s="301">
        <v>1</v>
      </c>
      <c r="E1061" s="465">
        <f>'Cost break dow.'!V589</f>
        <v>254.60137886777977</v>
      </c>
      <c r="F1061" s="466">
        <f t="shared" si="10"/>
        <v>254.60137886777977</v>
      </c>
    </row>
    <row r="1062" spans="1:6" ht="12.75">
      <c r="A1062" s="244"/>
      <c r="B1062" s="27" t="s">
        <v>1401</v>
      </c>
      <c r="C1062" s="19" t="s">
        <v>92</v>
      </c>
      <c r="D1062" s="301">
        <v>1</v>
      </c>
      <c r="E1062" s="465">
        <f>'Cost break dow.'!V595</f>
        <v>303.83132607064977</v>
      </c>
      <c r="F1062" s="466">
        <f t="shared" si="10"/>
        <v>303.83132607064977</v>
      </c>
    </row>
    <row r="1063" spans="1:6" ht="12.75">
      <c r="A1063" s="244"/>
      <c r="B1063" s="27"/>
      <c r="C1063" s="19"/>
      <c r="D1063" s="301"/>
      <c r="E1063" s="465"/>
      <c r="F1063" s="466">
        <f t="shared" si="10"/>
        <v>0</v>
      </c>
    </row>
    <row r="1064" spans="1:6" s="7" customFormat="1" ht="12.75">
      <c r="A1064" s="243">
        <v>10.3</v>
      </c>
      <c r="B1064" s="28" t="s">
        <v>2744</v>
      </c>
      <c r="C1064" s="14"/>
      <c r="D1064" s="303"/>
      <c r="E1064" s="465"/>
      <c r="F1064" s="466">
        <f t="shared" si="10"/>
        <v>0</v>
      </c>
    </row>
    <row r="1065" spans="1:6" s="7" customFormat="1" ht="12.75">
      <c r="A1065" s="243"/>
      <c r="B1065" s="28" t="s">
        <v>2745</v>
      </c>
      <c r="C1065" s="14"/>
      <c r="D1065" s="303"/>
      <c r="E1065" s="465"/>
      <c r="F1065" s="466">
        <f t="shared" si="10"/>
        <v>0</v>
      </c>
    </row>
    <row r="1066" spans="1:6" ht="12.75">
      <c r="A1066" s="244"/>
      <c r="B1066" s="27"/>
      <c r="C1066" s="19"/>
      <c r="D1066" s="301"/>
      <c r="E1066" s="465"/>
      <c r="F1066" s="466">
        <f t="shared" si="10"/>
        <v>0</v>
      </c>
    </row>
    <row r="1067" spans="1:6" ht="140.25">
      <c r="A1067" s="244"/>
      <c r="B1067" s="27" t="s">
        <v>1611</v>
      </c>
      <c r="C1067" s="19"/>
      <c r="D1067" s="301"/>
      <c r="E1067" s="465"/>
      <c r="F1067" s="466">
        <f t="shared" si="10"/>
        <v>0</v>
      </c>
    </row>
    <row r="1068" spans="1:6" ht="12.75">
      <c r="A1068" s="244"/>
      <c r="B1068" s="27"/>
      <c r="C1068" s="19"/>
      <c r="D1068" s="301"/>
      <c r="E1068" s="465"/>
      <c r="F1068" s="466">
        <f t="shared" si="10"/>
        <v>0</v>
      </c>
    </row>
    <row r="1069" spans="1:6" ht="38.25">
      <c r="A1069" s="244" t="s">
        <v>1612</v>
      </c>
      <c r="B1069" s="27" t="s">
        <v>2100</v>
      </c>
      <c r="C1069" s="19"/>
      <c r="D1069" s="301"/>
      <c r="E1069" s="465"/>
      <c r="F1069" s="466">
        <f t="shared" si="10"/>
        <v>0</v>
      </c>
    </row>
    <row r="1070" spans="1:6" ht="12.75">
      <c r="A1070" s="244"/>
      <c r="B1070" s="27" t="s">
        <v>2101</v>
      </c>
      <c r="C1070" s="19" t="s">
        <v>92</v>
      </c>
      <c r="D1070" s="301">
        <v>23</v>
      </c>
      <c r="E1070" s="465">
        <f>'Cost break dow.'!V554</f>
        <v>55.68307376428981</v>
      </c>
      <c r="F1070" s="466">
        <f t="shared" si="10"/>
        <v>1280.7106965786656</v>
      </c>
    </row>
    <row r="1071" spans="1:6" ht="12.75">
      <c r="A1071" s="244"/>
      <c r="B1071" s="27" t="s">
        <v>2102</v>
      </c>
      <c r="C1071" s="19" t="s">
        <v>92</v>
      </c>
      <c r="D1071" s="301">
        <v>98</v>
      </c>
      <c r="E1071" s="465">
        <v>60</v>
      </c>
      <c r="F1071" s="466">
        <f t="shared" si="10"/>
        <v>5880</v>
      </c>
    </row>
    <row r="1072" spans="1:6" ht="12.75">
      <c r="A1072" s="244"/>
      <c r="B1072" s="27" t="s">
        <v>1627</v>
      </c>
      <c r="C1072" s="19" t="s">
        <v>92</v>
      </c>
      <c r="D1072" s="301">
        <v>49</v>
      </c>
      <c r="E1072" s="465">
        <f>'Cost break dow.'!V559</f>
        <v>99.56877731228725</v>
      </c>
      <c r="F1072" s="466">
        <f t="shared" si="10"/>
        <v>4878.870088302076</v>
      </c>
    </row>
    <row r="1073" spans="1:6" ht="12.75">
      <c r="A1073" s="244"/>
      <c r="B1073" s="27" t="s">
        <v>1628</v>
      </c>
      <c r="C1073" s="19" t="s">
        <v>92</v>
      </c>
      <c r="D1073" s="301">
        <v>26</v>
      </c>
      <c r="E1073" s="465">
        <v>130</v>
      </c>
      <c r="F1073" s="466">
        <f t="shared" si="10"/>
        <v>3380</v>
      </c>
    </row>
    <row r="1074" spans="1:6" ht="12.75">
      <c r="A1074" s="244"/>
      <c r="B1074" s="27"/>
      <c r="C1074" s="19"/>
      <c r="D1074" s="301"/>
      <c r="E1074" s="465"/>
      <c r="F1074" s="466">
        <f t="shared" si="10"/>
        <v>0</v>
      </c>
    </row>
    <row r="1075" spans="1:6" ht="12.75">
      <c r="A1075" s="244" t="s">
        <v>1629</v>
      </c>
      <c r="B1075" s="27" t="s">
        <v>1630</v>
      </c>
      <c r="C1075" s="19"/>
      <c r="D1075" s="301"/>
      <c r="E1075" s="465"/>
      <c r="F1075" s="466">
        <f t="shared" si="10"/>
        <v>0</v>
      </c>
    </row>
    <row r="1076" spans="1:6" ht="12.75">
      <c r="A1076" s="244"/>
      <c r="B1076" s="27" t="s">
        <v>1631</v>
      </c>
      <c r="C1076" s="19" t="s">
        <v>1561</v>
      </c>
      <c r="D1076" s="301">
        <v>8</v>
      </c>
      <c r="E1076" s="465">
        <v>150</v>
      </c>
      <c r="F1076" s="466">
        <f t="shared" si="10"/>
        <v>1200</v>
      </c>
    </row>
    <row r="1077" spans="1:6" ht="12.75">
      <c r="A1077" s="244"/>
      <c r="B1077" s="27" t="s">
        <v>1632</v>
      </c>
      <c r="C1077" s="19" t="s">
        <v>1561</v>
      </c>
      <c r="D1077" s="301">
        <v>1</v>
      </c>
      <c r="E1077" s="465">
        <v>200</v>
      </c>
      <c r="F1077" s="466">
        <f t="shared" si="10"/>
        <v>200</v>
      </c>
    </row>
    <row r="1078" spans="1:6" ht="12.75">
      <c r="A1078" s="244"/>
      <c r="B1078" s="27"/>
      <c r="C1078" s="19"/>
      <c r="D1078" s="301"/>
      <c r="E1078" s="465"/>
      <c r="F1078" s="466">
        <f t="shared" si="10"/>
        <v>0</v>
      </c>
    </row>
    <row r="1079" spans="1:6" ht="12.75">
      <c r="A1079" s="243">
        <v>10.4</v>
      </c>
      <c r="B1079" s="28" t="s">
        <v>1633</v>
      </c>
      <c r="C1079" s="19"/>
      <c r="D1079" s="301"/>
      <c r="E1079" s="465"/>
      <c r="F1079" s="466">
        <f aca="true" t="shared" si="11" ref="F1079:F1142">D1079*E1079</f>
        <v>0</v>
      </c>
    </row>
    <row r="1080" spans="1:6" ht="6.75" customHeight="1">
      <c r="A1080" s="244"/>
      <c r="B1080" s="27"/>
      <c r="C1080" s="19"/>
      <c r="D1080" s="301"/>
      <c r="E1080" s="465"/>
      <c r="F1080" s="466">
        <f t="shared" si="11"/>
        <v>0</v>
      </c>
    </row>
    <row r="1081" spans="1:6" ht="63.75">
      <c r="A1081" s="244" t="s">
        <v>1634</v>
      </c>
      <c r="B1081" s="27" t="s">
        <v>1635</v>
      </c>
      <c r="C1081" s="19" t="s">
        <v>1636</v>
      </c>
      <c r="D1081" s="301">
        <v>78</v>
      </c>
      <c r="E1081" s="465">
        <v>380</v>
      </c>
      <c r="F1081" s="466">
        <f t="shared" si="11"/>
        <v>29640</v>
      </c>
    </row>
    <row r="1082" spans="1:6" ht="12.75">
      <c r="A1082" s="244"/>
      <c r="B1082" s="27"/>
      <c r="C1082" s="19"/>
      <c r="D1082" s="301"/>
      <c r="E1082" s="465"/>
      <c r="F1082" s="466">
        <f t="shared" si="11"/>
        <v>0</v>
      </c>
    </row>
    <row r="1083" spans="1:6" ht="102">
      <c r="A1083" s="244" t="s">
        <v>1637</v>
      </c>
      <c r="B1083" s="27" t="s">
        <v>1638</v>
      </c>
      <c r="C1083" s="19"/>
      <c r="D1083" s="301"/>
      <c r="E1083" s="465"/>
      <c r="F1083" s="466">
        <f t="shared" si="11"/>
        <v>0</v>
      </c>
    </row>
    <row r="1084" spans="1:6" ht="12.75">
      <c r="A1084" s="244"/>
      <c r="B1084" s="27" t="s">
        <v>1639</v>
      </c>
      <c r="C1084" s="19" t="s">
        <v>92</v>
      </c>
      <c r="D1084" s="301">
        <v>88</v>
      </c>
      <c r="E1084" s="465">
        <v>300</v>
      </c>
      <c r="F1084" s="466">
        <f t="shared" si="11"/>
        <v>26400</v>
      </c>
    </row>
    <row r="1085" spans="1:6" ht="6.75" customHeight="1">
      <c r="A1085" s="244"/>
      <c r="B1085" s="27"/>
      <c r="C1085" s="19"/>
      <c r="D1085" s="301"/>
      <c r="E1085" s="465"/>
      <c r="F1085" s="466">
        <f t="shared" si="11"/>
        <v>0</v>
      </c>
    </row>
    <row r="1086" spans="1:6" ht="51">
      <c r="A1086" s="244" t="s">
        <v>1640</v>
      </c>
      <c r="B1086" s="27" t="s">
        <v>1641</v>
      </c>
      <c r="C1086" s="19"/>
      <c r="D1086" s="301"/>
      <c r="E1086" s="465"/>
      <c r="F1086" s="466">
        <f t="shared" si="11"/>
        <v>0</v>
      </c>
    </row>
    <row r="1087" spans="1:6" ht="12.75">
      <c r="A1087" s="244"/>
      <c r="B1087" s="27" t="s">
        <v>1642</v>
      </c>
      <c r="C1087" s="19"/>
      <c r="D1087" s="301"/>
      <c r="E1087" s="465"/>
      <c r="F1087" s="466">
        <f t="shared" si="11"/>
        <v>0</v>
      </c>
    </row>
    <row r="1088" spans="1:6" ht="12.75">
      <c r="A1088" s="244"/>
      <c r="B1088" s="27" t="s">
        <v>1643</v>
      </c>
      <c r="C1088" s="19"/>
      <c r="D1088" s="301"/>
      <c r="E1088" s="465"/>
      <c r="F1088" s="466">
        <f t="shared" si="11"/>
        <v>0</v>
      </c>
    </row>
    <row r="1089" spans="1:6" ht="12.75">
      <c r="A1089" s="244"/>
      <c r="B1089" s="27" t="s">
        <v>1644</v>
      </c>
      <c r="C1089" s="19"/>
      <c r="D1089" s="301"/>
      <c r="E1089" s="465"/>
      <c r="F1089" s="466">
        <f t="shared" si="11"/>
        <v>0</v>
      </c>
    </row>
    <row r="1090" spans="1:6" ht="12.75">
      <c r="A1090" s="244"/>
      <c r="B1090" s="27" t="s">
        <v>2214</v>
      </c>
      <c r="C1090" s="19"/>
      <c r="D1090" s="301"/>
      <c r="E1090" s="465"/>
      <c r="F1090" s="466">
        <f t="shared" si="11"/>
        <v>0</v>
      </c>
    </row>
    <row r="1091" spans="1:6" ht="12.75">
      <c r="A1091" s="244"/>
      <c r="B1091" s="27" t="s">
        <v>2236</v>
      </c>
      <c r="C1091" s="19"/>
      <c r="D1091" s="301"/>
      <c r="E1091" s="465"/>
      <c r="F1091" s="466">
        <f t="shared" si="11"/>
        <v>0</v>
      </c>
    </row>
    <row r="1092" spans="1:6" ht="12.75">
      <c r="A1092" s="244"/>
      <c r="B1092" s="27" t="s">
        <v>3181</v>
      </c>
      <c r="C1092" s="19"/>
      <c r="D1092" s="301"/>
      <c r="E1092" s="465"/>
      <c r="F1092" s="466">
        <f t="shared" si="11"/>
        <v>0</v>
      </c>
    </row>
    <row r="1093" spans="1:6" ht="12.75">
      <c r="A1093" s="244"/>
      <c r="B1093" s="27" t="s">
        <v>3182</v>
      </c>
      <c r="C1093" s="19" t="s">
        <v>2556</v>
      </c>
      <c r="D1093" s="301">
        <v>2</v>
      </c>
      <c r="E1093" s="465">
        <v>9500</v>
      </c>
      <c r="F1093" s="466">
        <f t="shared" si="11"/>
        <v>19000</v>
      </c>
    </row>
    <row r="1094" spans="1:6" ht="6" customHeight="1">
      <c r="A1094" s="244"/>
      <c r="B1094" s="27"/>
      <c r="C1094" s="19"/>
      <c r="D1094" s="301"/>
      <c r="E1094" s="465"/>
      <c r="F1094" s="466">
        <f t="shared" si="11"/>
        <v>0</v>
      </c>
    </row>
    <row r="1095" spans="1:6" ht="38.25">
      <c r="A1095" s="244" t="s">
        <v>3183</v>
      </c>
      <c r="B1095" s="27" t="s">
        <v>3184</v>
      </c>
      <c r="C1095" s="19"/>
      <c r="D1095" s="301"/>
      <c r="E1095" s="465"/>
      <c r="F1095" s="466">
        <f t="shared" si="11"/>
        <v>0</v>
      </c>
    </row>
    <row r="1096" spans="1:6" ht="12.75">
      <c r="A1096" s="244"/>
      <c r="B1096" s="28" t="s">
        <v>3185</v>
      </c>
      <c r="C1096" s="19" t="s">
        <v>2556</v>
      </c>
      <c r="D1096" s="301">
        <v>1</v>
      </c>
      <c r="E1096" s="465"/>
      <c r="F1096" s="466">
        <f t="shared" si="11"/>
        <v>0</v>
      </c>
    </row>
    <row r="1097" spans="1:6" ht="6.75" customHeight="1">
      <c r="A1097" s="244"/>
      <c r="B1097" s="28"/>
      <c r="C1097" s="19"/>
      <c r="D1097" s="301"/>
      <c r="E1097" s="465"/>
      <c r="F1097" s="466">
        <f t="shared" si="11"/>
        <v>0</v>
      </c>
    </row>
    <row r="1098" spans="1:6" ht="12.75">
      <c r="A1098" s="244"/>
      <c r="B1098" s="254" t="s">
        <v>3186</v>
      </c>
      <c r="C1098" s="19"/>
      <c r="D1098" s="301"/>
      <c r="E1098" s="465"/>
      <c r="F1098" s="466">
        <f t="shared" si="11"/>
        <v>0</v>
      </c>
    </row>
    <row r="1099" spans="1:6" ht="14.25">
      <c r="A1099" s="244">
        <v>1.1</v>
      </c>
      <c r="B1099" s="27" t="s">
        <v>3187</v>
      </c>
      <c r="C1099" s="19" t="s">
        <v>1567</v>
      </c>
      <c r="D1099" s="301">
        <v>47</v>
      </c>
      <c r="E1099" s="465">
        <f>'Cost break dow.'!V33</f>
        <v>77.26276732569973</v>
      </c>
      <c r="F1099" s="466">
        <f t="shared" si="11"/>
        <v>3631.3500643078874</v>
      </c>
    </row>
    <row r="1100" spans="1:6" ht="14.25">
      <c r="A1100" s="244">
        <v>1.2</v>
      </c>
      <c r="B1100" s="27" t="s">
        <v>3188</v>
      </c>
      <c r="C1100" s="19" t="s">
        <v>1567</v>
      </c>
      <c r="D1100" s="301">
        <v>66</v>
      </c>
      <c r="E1100" s="465">
        <f>'Cost break dow.'!V38</f>
        <v>106.44199323197961</v>
      </c>
      <c r="F1100" s="466">
        <f t="shared" si="11"/>
        <v>7025.171553310654</v>
      </c>
    </row>
    <row r="1101" spans="1:6" ht="14.25">
      <c r="A1101" s="244">
        <v>1.3</v>
      </c>
      <c r="B1101" s="27" t="s">
        <v>3189</v>
      </c>
      <c r="C1101" s="19" t="s">
        <v>1567</v>
      </c>
      <c r="D1101" s="301">
        <v>4</v>
      </c>
      <c r="E1101" s="465">
        <f>'Cost break dow.'!V48</f>
        <v>126.28523433499151</v>
      </c>
      <c r="F1101" s="466">
        <f t="shared" si="11"/>
        <v>505.14093733996606</v>
      </c>
    </row>
    <row r="1102" spans="1:6" ht="14.25">
      <c r="A1102" s="244">
        <v>1.4</v>
      </c>
      <c r="B1102" s="27" t="s">
        <v>3190</v>
      </c>
      <c r="C1102" s="19" t="s">
        <v>1567</v>
      </c>
      <c r="D1102" s="301">
        <v>27</v>
      </c>
      <c r="E1102" s="465">
        <f>'Cost break dow.'!V48</f>
        <v>126.28523433499151</v>
      </c>
      <c r="F1102" s="466">
        <f t="shared" si="11"/>
        <v>3409.701327044771</v>
      </c>
    </row>
    <row r="1103" spans="1:6" ht="14.25">
      <c r="A1103" s="244">
        <v>1.6</v>
      </c>
      <c r="B1103" s="27" t="s">
        <v>3191</v>
      </c>
      <c r="C1103" s="19" t="s">
        <v>1567</v>
      </c>
      <c r="D1103" s="301">
        <v>81</v>
      </c>
      <c r="E1103" s="465">
        <f>'Cost break dow.'!V59</f>
        <v>128.5101460860932</v>
      </c>
      <c r="F1103" s="466">
        <f t="shared" si="11"/>
        <v>10409.321832973548</v>
      </c>
    </row>
    <row r="1104" spans="1:6" ht="12.75">
      <c r="A1104" s="244"/>
      <c r="B1104" s="254" t="s">
        <v>3192</v>
      </c>
      <c r="C1104" s="19"/>
      <c r="D1104" s="301"/>
      <c r="E1104" s="465"/>
      <c r="F1104" s="466">
        <f t="shared" si="11"/>
        <v>0</v>
      </c>
    </row>
    <row r="1105" spans="1:6" ht="14.25">
      <c r="A1105" s="244">
        <v>2.1</v>
      </c>
      <c r="B1105" s="27" t="s">
        <v>3193</v>
      </c>
      <c r="C1105" s="19" t="s">
        <v>1565</v>
      </c>
      <c r="D1105" s="301">
        <v>24</v>
      </c>
      <c r="E1105" s="465">
        <f>'Cost break dow.'!V74*0.05</f>
        <v>0</v>
      </c>
      <c r="F1105" s="466">
        <f t="shared" si="11"/>
        <v>0</v>
      </c>
    </row>
    <row r="1106" spans="1:6" ht="12.75">
      <c r="A1106" s="244"/>
      <c r="B1106" s="27" t="s">
        <v>3194</v>
      </c>
      <c r="C1106" s="19"/>
      <c r="D1106" s="301"/>
      <c r="E1106" s="465"/>
      <c r="F1106" s="466">
        <f t="shared" si="11"/>
        <v>0</v>
      </c>
    </row>
    <row r="1107" spans="1:6" ht="14.25">
      <c r="A1107" s="244">
        <v>2.2</v>
      </c>
      <c r="B1107" s="27" t="s">
        <v>567</v>
      </c>
      <c r="C1107" s="19" t="s">
        <v>1565</v>
      </c>
      <c r="D1107" s="301">
        <v>24</v>
      </c>
      <c r="E1107" s="465">
        <f>'Cost break dow.'!V93*0.2</f>
        <v>448.25226675876377</v>
      </c>
      <c r="F1107" s="466">
        <f t="shared" si="11"/>
        <v>10758.054402210331</v>
      </c>
    </row>
    <row r="1108" spans="1:6" ht="14.25">
      <c r="A1108" s="244">
        <v>2.3</v>
      </c>
      <c r="B1108" s="27" t="s">
        <v>568</v>
      </c>
      <c r="C1108" s="19" t="s">
        <v>1565</v>
      </c>
      <c r="D1108" s="301">
        <v>24</v>
      </c>
      <c r="E1108" s="465">
        <f>'Cost break dow.'!V93*0.18</f>
        <v>403.42704008288734</v>
      </c>
      <c r="F1108" s="466">
        <f t="shared" si="11"/>
        <v>9682.248961989297</v>
      </c>
    </row>
    <row r="1109" spans="1:6" ht="12.75">
      <c r="A1109" s="244">
        <v>2.4</v>
      </c>
      <c r="B1109" s="27" t="s">
        <v>569</v>
      </c>
      <c r="C1109" s="19" t="s">
        <v>2556</v>
      </c>
      <c r="D1109" s="301">
        <v>2</v>
      </c>
      <c r="E1109" s="465">
        <v>180</v>
      </c>
      <c r="F1109" s="466">
        <f t="shared" si="11"/>
        <v>360</v>
      </c>
    </row>
    <row r="1110" spans="1:6" ht="12.75">
      <c r="A1110" s="244"/>
      <c r="B1110" s="27" t="s">
        <v>570</v>
      </c>
      <c r="C1110" s="19"/>
      <c r="D1110" s="301"/>
      <c r="E1110" s="465"/>
      <c r="F1110" s="466">
        <f t="shared" si="11"/>
        <v>0</v>
      </c>
    </row>
    <row r="1111" spans="1:6" ht="14.25">
      <c r="A1111" s="244">
        <v>2.6</v>
      </c>
      <c r="B1111" s="27" t="s">
        <v>571</v>
      </c>
      <c r="C1111" s="19" t="s">
        <v>1565</v>
      </c>
      <c r="D1111" s="301">
        <v>3.5</v>
      </c>
      <c r="E1111" s="465">
        <f>'Cost break dow.'!V118</f>
        <v>290.32734629873335</v>
      </c>
      <c r="F1111" s="466">
        <f t="shared" si="11"/>
        <v>1016.1457120455667</v>
      </c>
    </row>
    <row r="1112" spans="1:6" ht="14.25">
      <c r="A1112" s="244">
        <v>2.7</v>
      </c>
      <c r="B1112" s="27" t="s">
        <v>572</v>
      </c>
      <c r="C1112" s="19" t="s">
        <v>1565</v>
      </c>
      <c r="D1112" s="301">
        <v>26</v>
      </c>
      <c r="E1112" s="465">
        <f>E1111</f>
        <v>290.32734629873335</v>
      </c>
      <c r="F1112" s="466">
        <f t="shared" si="11"/>
        <v>7548.511003767067</v>
      </c>
    </row>
    <row r="1113" spans="1:6" ht="14.25">
      <c r="A1113" s="244">
        <v>2.9</v>
      </c>
      <c r="B1113" s="27" t="s">
        <v>573</v>
      </c>
      <c r="C1113" s="19" t="s">
        <v>1565</v>
      </c>
      <c r="D1113" s="301">
        <v>1.3</v>
      </c>
      <c r="E1113" s="465">
        <f>E1112</f>
        <v>290.32734629873335</v>
      </c>
      <c r="F1113" s="466">
        <f t="shared" si="11"/>
        <v>377.4255501883534</v>
      </c>
    </row>
    <row r="1114" spans="1:6" ht="12.75">
      <c r="A1114" s="244"/>
      <c r="B1114" s="27" t="s">
        <v>574</v>
      </c>
      <c r="C1114" s="19"/>
      <c r="D1114" s="301"/>
      <c r="E1114" s="465"/>
      <c r="F1114" s="466">
        <f t="shared" si="11"/>
        <v>0</v>
      </c>
    </row>
    <row r="1115" spans="1:6" ht="12.75">
      <c r="A1115" s="244">
        <v>2.1</v>
      </c>
      <c r="B1115" s="27" t="s">
        <v>575</v>
      </c>
      <c r="C1115" s="19" t="s">
        <v>86</v>
      </c>
      <c r="D1115" s="301">
        <v>366</v>
      </c>
      <c r="E1115" s="465">
        <f>'Cost break dow.'!V125</f>
        <v>28.227542033120493</v>
      </c>
      <c r="F1115" s="466">
        <f t="shared" si="11"/>
        <v>10331.280384122101</v>
      </c>
    </row>
    <row r="1116" spans="1:6" ht="12.75">
      <c r="A1116" s="244">
        <v>2.11</v>
      </c>
      <c r="B1116" s="27" t="s">
        <v>576</v>
      </c>
      <c r="C1116" s="19" t="s">
        <v>86</v>
      </c>
      <c r="D1116" s="301">
        <v>58</v>
      </c>
      <c r="E1116" s="465">
        <f>E1115</f>
        <v>28.227542033120493</v>
      </c>
      <c r="F1116" s="466">
        <f t="shared" si="11"/>
        <v>1637.1974379209885</v>
      </c>
    </row>
    <row r="1117" spans="1:6" ht="12.75">
      <c r="A1117" s="244">
        <v>2.12</v>
      </c>
      <c r="B1117" s="27" t="s">
        <v>577</v>
      </c>
      <c r="C1117" s="19" t="s">
        <v>86</v>
      </c>
      <c r="D1117" s="301">
        <v>10</v>
      </c>
      <c r="E1117" s="465">
        <f>E1116</f>
        <v>28.227542033120493</v>
      </c>
      <c r="F1117" s="466">
        <f t="shared" si="11"/>
        <v>282.27542033120494</v>
      </c>
    </row>
    <row r="1118" spans="1:6" ht="12.75">
      <c r="A1118" s="244">
        <v>2.13</v>
      </c>
      <c r="B1118" s="27" t="s">
        <v>578</v>
      </c>
      <c r="C1118" s="19" t="s">
        <v>86</v>
      </c>
      <c r="D1118" s="301">
        <v>85</v>
      </c>
      <c r="E1118" s="465">
        <f>E1117</f>
        <v>28.227542033120493</v>
      </c>
      <c r="F1118" s="466">
        <f t="shared" si="11"/>
        <v>2399.3410728152417</v>
      </c>
    </row>
    <row r="1119" spans="1:6" ht="12.75">
      <c r="A1119" s="244"/>
      <c r="B1119" s="254" t="s">
        <v>579</v>
      </c>
      <c r="C1119" s="19"/>
      <c r="D1119" s="301"/>
      <c r="E1119" s="465"/>
      <c r="F1119" s="466">
        <f t="shared" si="11"/>
        <v>0</v>
      </c>
    </row>
    <row r="1120" spans="1:6" ht="14.25">
      <c r="A1120" s="244">
        <v>3.1</v>
      </c>
      <c r="B1120" s="27" t="s">
        <v>580</v>
      </c>
      <c r="C1120" s="19" t="s">
        <v>1567</v>
      </c>
      <c r="D1120" s="301">
        <v>33</v>
      </c>
      <c r="E1120" s="465">
        <f>'Cost break dow.'!V136</f>
        <v>1408.680881909492</v>
      </c>
      <c r="F1120" s="466">
        <f t="shared" si="11"/>
        <v>46486.46910301324</v>
      </c>
    </row>
    <row r="1121" spans="1:6" ht="12.75">
      <c r="A1121" s="244"/>
      <c r="B1121" s="254" t="s">
        <v>581</v>
      </c>
      <c r="C1121" s="19"/>
      <c r="D1121" s="301"/>
      <c r="E1121" s="465"/>
      <c r="F1121" s="466">
        <f t="shared" si="11"/>
        <v>0</v>
      </c>
    </row>
    <row r="1122" spans="1:6" ht="14.25">
      <c r="A1122" s="244">
        <v>4.1</v>
      </c>
      <c r="B1122" s="27" t="s">
        <v>582</v>
      </c>
      <c r="C1122" s="19" t="s">
        <v>1565</v>
      </c>
      <c r="D1122" s="301">
        <v>13</v>
      </c>
      <c r="E1122" s="465">
        <f>'Cost break dow.'!V160</f>
        <v>0</v>
      </c>
      <c r="F1122" s="466">
        <f t="shared" si="11"/>
        <v>0</v>
      </c>
    </row>
    <row r="1123" spans="1:6" ht="12.75">
      <c r="A1123" s="244"/>
      <c r="B1123" s="254" t="s">
        <v>583</v>
      </c>
      <c r="C1123" s="19"/>
      <c r="D1123" s="301"/>
      <c r="E1123" s="465"/>
      <c r="F1123" s="466">
        <f t="shared" si="11"/>
        <v>0</v>
      </c>
    </row>
    <row r="1124" spans="1:6" ht="14.25">
      <c r="A1124" s="244">
        <v>5.1</v>
      </c>
      <c r="B1124" s="27" t="s">
        <v>584</v>
      </c>
      <c r="C1124" s="19" t="s">
        <v>1565</v>
      </c>
      <c r="D1124" s="301">
        <v>42</v>
      </c>
      <c r="E1124" s="465">
        <f>'Cost break dow.'!V336</f>
        <v>159.96728093410925</v>
      </c>
      <c r="F1124" s="466">
        <f t="shared" si="11"/>
        <v>6718.625799232589</v>
      </c>
    </row>
    <row r="1125" spans="1:6" ht="14.25">
      <c r="A1125" s="244">
        <v>5.2</v>
      </c>
      <c r="B1125" s="27" t="s">
        <v>585</v>
      </c>
      <c r="C1125" s="19" t="s">
        <v>1565</v>
      </c>
      <c r="D1125" s="301">
        <v>49</v>
      </c>
      <c r="E1125" s="465">
        <f>E1124</f>
        <v>159.96728093410925</v>
      </c>
      <c r="F1125" s="466">
        <f t="shared" si="11"/>
        <v>7838.396765771354</v>
      </c>
    </row>
    <row r="1126" spans="1:6" ht="12.75">
      <c r="A1126" s="244"/>
      <c r="B1126" s="254" t="s">
        <v>586</v>
      </c>
      <c r="C1126" s="19"/>
      <c r="D1126" s="301"/>
      <c r="E1126" s="465"/>
      <c r="F1126" s="466">
        <f t="shared" si="11"/>
        <v>0</v>
      </c>
    </row>
    <row r="1127" spans="1:6" ht="12.75">
      <c r="A1127" s="244">
        <v>6.1</v>
      </c>
      <c r="B1127" s="27" t="s">
        <v>587</v>
      </c>
      <c r="C1127" s="19" t="s">
        <v>2556</v>
      </c>
      <c r="D1127" s="301">
        <v>2</v>
      </c>
      <c r="E1127" s="465">
        <v>250</v>
      </c>
      <c r="F1127" s="466">
        <f t="shared" si="11"/>
        <v>500</v>
      </c>
    </row>
    <row r="1128" spans="1:6" ht="12.75">
      <c r="A1128" s="244">
        <v>6.2</v>
      </c>
      <c r="B1128" s="27" t="s">
        <v>588</v>
      </c>
      <c r="C1128" s="19" t="s">
        <v>2556</v>
      </c>
      <c r="D1128" s="301">
        <v>2</v>
      </c>
      <c r="E1128" s="465">
        <v>250</v>
      </c>
      <c r="F1128" s="466">
        <f t="shared" si="11"/>
        <v>500</v>
      </c>
    </row>
    <row r="1129" spans="1:6" ht="8.25" customHeight="1">
      <c r="A1129" s="244"/>
      <c r="B1129" s="27"/>
      <c r="C1129" s="19"/>
      <c r="D1129" s="301"/>
      <c r="E1129" s="465"/>
      <c r="F1129" s="466">
        <f t="shared" si="11"/>
        <v>0</v>
      </c>
    </row>
    <row r="1130" spans="1:6" ht="12.75">
      <c r="A1130" s="244"/>
      <c r="B1130" s="27"/>
      <c r="C1130" s="19"/>
      <c r="D1130" s="301"/>
      <c r="E1130" s="465"/>
      <c r="F1130" s="466">
        <f t="shared" si="11"/>
        <v>0</v>
      </c>
    </row>
    <row r="1131" spans="1:6" ht="12.75">
      <c r="A1131" s="244" t="s">
        <v>589</v>
      </c>
      <c r="B1131" s="27" t="s">
        <v>590</v>
      </c>
      <c r="C1131" s="19"/>
      <c r="D1131" s="301"/>
      <c r="E1131" s="465"/>
      <c r="F1131" s="466">
        <f t="shared" si="11"/>
        <v>0</v>
      </c>
    </row>
    <row r="1132" spans="1:6" ht="12.75">
      <c r="A1132" s="244"/>
      <c r="B1132" s="27" t="s">
        <v>591</v>
      </c>
      <c r="C1132" s="19" t="s">
        <v>2556</v>
      </c>
      <c r="D1132" s="301">
        <v>1</v>
      </c>
      <c r="E1132" s="465">
        <v>11200</v>
      </c>
      <c r="F1132" s="466">
        <f t="shared" si="11"/>
        <v>11200</v>
      </c>
    </row>
    <row r="1133" spans="1:6" ht="12.75">
      <c r="A1133" s="244"/>
      <c r="B1133" s="27"/>
      <c r="C1133" s="19"/>
      <c r="D1133" s="301"/>
      <c r="E1133" s="465"/>
      <c r="F1133" s="466">
        <f t="shared" si="11"/>
        <v>0</v>
      </c>
    </row>
    <row r="1134" spans="1:6" ht="63.75">
      <c r="A1134" s="244" t="s">
        <v>592</v>
      </c>
      <c r="B1134" s="27" t="s">
        <v>593</v>
      </c>
      <c r="C1134" s="19"/>
      <c r="D1134" s="301"/>
      <c r="E1134" s="465"/>
      <c r="F1134" s="466">
        <f t="shared" si="11"/>
        <v>0</v>
      </c>
    </row>
    <row r="1135" spans="1:6" ht="12.75">
      <c r="A1135" s="244"/>
      <c r="B1135" s="27" t="s">
        <v>594</v>
      </c>
      <c r="C1135" s="19" t="s">
        <v>92</v>
      </c>
      <c r="D1135" s="301">
        <v>12</v>
      </c>
      <c r="E1135" s="465">
        <v>70</v>
      </c>
      <c r="F1135" s="466">
        <f t="shared" si="11"/>
        <v>840</v>
      </c>
    </row>
    <row r="1136" spans="1:6" ht="12.75">
      <c r="A1136" s="244"/>
      <c r="B1136" s="27" t="s">
        <v>595</v>
      </c>
      <c r="C1136" s="19" t="s">
        <v>92</v>
      </c>
      <c r="D1136" s="301">
        <v>41</v>
      </c>
      <c r="E1136" s="465">
        <v>90</v>
      </c>
      <c r="F1136" s="466">
        <f t="shared" si="11"/>
        <v>3690</v>
      </c>
    </row>
    <row r="1137" spans="1:6" ht="12.75">
      <c r="A1137" s="244"/>
      <c r="B1137" s="27"/>
      <c r="C1137" s="19"/>
      <c r="D1137" s="301"/>
      <c r="E1137" s="465"/>
      <c r="F1137" s="466">
        <f t="shared" si="11"/>
        <v>0</v>
      </c>
    </row>
    <row r="1138" spans="1:6" ht="38.25">
      <c r="A1138" s="244" t="s">
        <v>596</v>
      </c>
      <c r="B1138" s="27" t="s">
        <v>597</v>
      </c>
      <c r="C1138" s="19"/>
      <c r="D1138" s="301"/>
      <c r="E1138" s="465"/>
      <c r="F1138" s="466">
        <f t="shared" si="11"/>
        <v>0</v>
      </c>
    </row>
    <row r="1139" spans="1:6" ht="12.75">
      <c r="A1139" s="244"/>
      <c r="B1139" s="27" t="s">
        <v>598</v>
      </c>
      <c r="C1139" s="19" t="s">
        <v>599</v>
      </c>
      <c r="D1139" s="301">
        <v>3</v>
      </c>
      <c r="E1139" s="465">
        <v>60</v>
      </c>
      <c r="F1139" s="466">
        <f t="shared" si="11"/>
        <v>180</v>
      </c>
    </row>
    <row r="1140" spans="1:6" ht="12.75">
      <c r="A1140" s="244"/>
      <c r="B1140" s="27"/>
      <c r="C1140" s="19"/>
      <c r="D1140" s="301"/>
      <c r="E1140" s="465"/>
      <c r="F1140" s="466">
        <f t="shared" si="11"/>
        <v>0</v>
      </c>
    </row>
    <row r="1141" spans="1:6" ht="89.25">
      <c r="A1141" s="244" t="s">
        <v>600</v>
      </c>
      <c r="B1141" s="27" t="s">
        <v>1194</v>
      </c>
      <c r="C1141" s="19"/>
      <c r="D1141" s="301"/>
      <c r="E1141" s="465"/>
      <c r="F1141" s="466">
        <f t="shared" si="11"/>
        <v>0</v>
      </c>
    </row>
    <row r="1142" spans="1:6" ht="12.75">
      <c r="A1142" s="244"/>
      <c r="B1142" s="27" t="s">
        <v>1195</v>
      </c>
      <c r="C1142" s="19"/>
      <c r="D1142" s="301"/>
      <c r="E1142" s="465"/>
      <c r="F1142" s="466">
        <f t="shared" si="11"/>
        <v>0</v>
      </c>
    </row>
    <row r="1143" spans="1:6" ht="12.75">
      <c r="A1143" s="244"/>
      <c r="B1143" s="27" t="s">
        <v>1196</v>
      </c>
      <c r="C1143" s="19" t="s">
        <v>2556</v>
      </c>
      <c r="D1143" s="301">
        <v>4</v>
      </c>
      <c r="E1143" s="465">
        <v>550</v>
      </c>
      <c r="F1143" s="466">
        <f aca="true" t="shared" si="12" ref="F1143:F1161">D1143*E1143</f>
        <v>2200</v>
      </c>
    </row>
    <row r="1144" spans="1:6" ht="12.75">
      <c r="A1144" s="244"/>
      <c r="B1144" s="27" t="s">
        <v>1197</v>
      </c>
      <c r="C1144" s="19"/>
      <c r="D1144" s="301"/>
      <c r="E1144" s="465"/>
      <c r="F1144" s="466">
        <f t="shared" si="12"/>
        <v>0</v>
      </c>
    </row>
    <row r="1145" spans="1:6" ht="12.75">
      <c r="A1145" s="244"/>
      <c r="B1145" s="27" t="s">
        <v>1198</v>
      </c>
      <c r="C1145" s="19" t="s">
        <v>2556</v>
      </c>
      <c r="D1145" s="301">
        <v>3</v>
      </c>
      <c r="E1145" s="465">
        <v>950</v>
      </c>
      <c r="F1145" s="466">
        <f t="shared" si="12"/>
        <v>2850</v>
      </c>
    </row>
    <row r="1146" spans="1:6" ht="12.75">
      <c r="A1146" s="244"/>
      <c r="B1146" s="27"/>
      <c r="C1146" s="19"/>
      <c r="D1146" s="301"/>
      <c r="E1146" s="465"/>
      <c r="F1146" s="466">
        <f t="shared" si="12"/>
        <v>0</v>
      </c>
    </row>
    <row r="1147" spans="1:6" ht="25.5">
      <c r="A1147" s="244" t="s">
        <v>1199</v>
      </c>
      <c r="B1147" s="27" t="s">
        <v>1200</v>
      </c>
      <c r="C1147" s="19"/>
      <c r="D1147" s="301"/>
      <c r="E1147" s="465"/>
      <c r="F1147" s="466">
        <f t="shared" si="12"/>
        <v>0</v>
      </c>
    </row>
    <row r="1148" spans="1:6" ht="12.75">
      <c r="A1148" s="244"/>
      <c r="B1148" s="27" t="s">
        <v>1195</v>
      </c>
      <c r="C1148" s="19"/>
      <c r="D1148" s="301"/>
      <c r="E1148" s="465"/>
      <c r="F1148" s="466">
        <f t="shared" si="12"/>
        <v>0</v>
      </c>
    </row>
    <row r="1149" spans="1:6" ht="12.75">
      <c r="A1149" s="244"/>
      <c r="B1149" s="27" t="s">
        <v>1196</v>
      </c>
      <c r="C1149" s="19" t="s">
        <v>2556</v>
      </c>
      <c r="D1149" s="301">
        <v>2</v>
      </c>
      <c r="E1149" s="465">
        <v>550</v>
      </c>
      <c r="F1149" s="466">
        <f t="shared" si="12"/>
        <v>1100</v>
      </c>
    </row>
    <row r="1150" spans="1:6" ht="12.75">
      <c r="A1150" s="244"/>
      <c r="B1150" s="27"/>
      <c r="C1150" s="19"/>
      <c r="D1150" s="301"/>
      <c r="E1150" s="465"/>
      <c r="F1150" s="466">
        <f t="shared" si="12"/>
        <v>0</v>
      </c>
    </row>
    <row r="1151" spans="1:6" ht="25.5">
      <c r="A1151" s="244" t="s">
        <v>2053</v>
      </c>
      <c r="B1151" s="27" t="s">
        <v>2054</v>
      </c>
      <c r="C1151" s="19"/>
      <c r="D1151" s="301"/>
      <c r="E1151" s="465"/>
      <c r="F1151" s="466">
        <f t="shared" si="12"/>
        <v>0</v>
      </c>
    </row>
    <row r="1152" spans="1:6" ht="12.75">
      <c r="A1152" s="244"/>
      <c r="B1152" s="27" t="s">
        <v>1195</v>
      </c>
      <c r="C1152" s="19"/>
      <c r="D1152" s="301"/>
      <c r="E1152" s="465"/>
      <c r="F1152" s="466">
        <f t="shared" si="12"/>
        <v>0</v>
      </c>
    </row>
    <row r="1153" spans="1:6" ht="12.75">
      <c r="A1153" s="244"/>
      <c r="B1153" s="27" t="s">
        <v>1196</v>
      </c>
      <c r="C1153" s="19" t="s">
        <v>2556</v>
      </c>
      <c r="D1153" s="301">
        <v>6</v>
      </c>
      <c r="E1153" s="465">
        <v>950</v>
      </c>
      <c r="F1153" s="466">
        <f t="shared" si="12"/>
        <v>5700</v>
      </c>
    </row>
    <row r="1154" spans="1:6" ht="12.75">
      <c r="A1154" s="244"/>
      <c r="B1154" s="27"/>
      <c r="C1154" s="19"/>
      <c r="D1154" s="301"/>
      <c r="E1154" s="465"/>
      <c r="F1154" s="466">
        <f t="shared" si="12"/>
        <v>0</v>
      </c>
    </row>
    <row r="1155" spans="1:6" ht="51">
      <c r="A1155" s="244" t="s">
        <v>2055</v>
      </c>
      <c r="B1155" s="27" t="s">
        <v>2056</v>
      </c>
      <c r="C1155" s="19"/>
      <c r="D1155" s="301"/>
      <c r="E1155" s="465"/>
      <c r="F1155" s="466">
        <f t="shared" si="12"/>
        <v>0</v>
      </c>
    </row>
    <row r="1156" spans="1:6" ht="12.75">
      <c r="A1156" s="244"/>
      <c r="B1156" s="27" t="s">
        <v>2103</v>
      </c>
      <c r="C1156" s="19" t="s">
        <v>1636</v>
      </c>
      <c r="D1156" s="301">
        <v>34</v>
      </c>
      <c r="E1156" s="465">
        <v>150</v>
      </c>
      <c r="F1156" s="466">
        <f t="shared" si="12"/>
        <v>5100</v>
      </c>
    </row>
    <row r="1157" spans="1:6" ht="12.75">
      <c r="A1157" s="244"/>
      <c r="B1157" s="27" t="s">
        <v>2104</v>
      </c>
      <c r="C1157" s="19" t="s">
        <v>1636</v>
      </c>
      <c r="D1157" s="301">
        <v>81</v>
      </c>
      <c r="E1157" s="465">
        <v>200</v>
      </c>
      <c r="F1157" s="466">
        <f t="shared" si="12"/>
        <v>16200</v>
      </c>
    </row>
    <row r="1158" spans="1:6" ht="12.75">
      <c r="A1158" s="244"/>
      <c r="B1158" s="27"/>
      <c r="C1158" s="19"/>
      <c r="D1158" s="301"/>
      <c r="E1158" s="465"/>
      <c r="F1158" s="466">
        <f t="shared" si="12"/>
        <v>0</v>
      </c>
    </row>
    <row r="1159" spans="1:6" ht="12.75">
      <c r="A1159" s="244" t="s">
        <v>2105</v>
      </c>
      <c r="B1159" s="27" t="s">
        <v>2106</v>
      </c>
      <c r="C1159" s="19"/>
      <c r="D1159" s="301"/>
      <c r="E1159" s="465"/>
      <c r="F1159" s="466">
        <f t="shared" si="12"/>
        <v>0</v>
      </c>
    </row>
    <row r="1160" spans="1:6" ht="12.75">
      <c r="A1160" s="244"/>
      <c r="B1160" s="27" t="s">
        <v>2103</v>
      </c>
      <c r="C1160" s="19" t="s">
        <v>1636</v>
      </c>
      <c r="D1160" s="301">
        <v>9</v>
      </c>
      <c r="E1160" s="465">
        <v>150</v>
      </c>
      <c r="F1160" s="466">
        <f t="shared" si="12"/>
        <v>1350</v>
      </c>
    </row>
    <row r="1161" spans="1:6" ht="12.75">
      <c r="A1161" s="244"/>
      <c r="B1161" s="27" t="s">
        <v>2104</v>
      </c>
      <c r="C1161" s="19" t="s">
        <v>1636</v>
      </c>
      <c r="D1161" s="301">
        <v>21</v>
      </c>
      <c r="E1161" s="465">
        <v>200</v>
      </c>
      <c r="F1161" s="466">
        <f t="shared" si="12"/>
        <v>4200</v>
      </c>
    </row>
    <row r="1162" spans="1:4" ht="12.75">
      <c r="A1162" s="244"/>
      <c r="B1162" s="27"/>
      <c r="C1162" s="19"/>
      <c r="D1162" s="301"/>
    </row>
    <row r="1163" spans="1:6" ht="12.75">
      <c r="A1163" s="244"/>
      <c r="B1163" s="440" t="s">
        <v>1066</v>
      </c>
      <c r="C1163" s="19"/>
      <c r="D1163" s="301"/>
      <c r="F1163" s="184">
        <f>SUM(F1069:F1161)</f>
        <v>277886.2381132649</v>
      </c>
    </row>
    <row r="1164" spans="1:4" ht="12.75">
      <c r="A1164" s="17"/>
      <c r="B1164" s="63"/>
      <c r="C1164" s="63"/>
      <c r="D1164" s="340"/>
    </row>
  </sheetData>
  <sheetProtection/>
  <mergeCells count="1">
    <mergeCell ref="A2:D2"/>
  </mergeCells>
  <printOptions/>
  <pageMargins left="0.5" right="0.25" top="1" bottom="1" header="0.32" footer="0.5"/>
  <pageSetup firstPageNumber="39" useFirstPageNumber="1" horizontalDpi="600" verticalDpi="600" orientation="portrait" scale="91" r:id="rId1"/>
  <headerFooter alignWithMargins="0">
    <oddHeader>&amp;R&amp;"Arial,Bold"
</oddHeader>
  </headerFooter>
  <rowBreaks count="33" manualBreakCount="33">
    <brk id="41" max="255" man="1"/>
    <brk id="68" max="255" man="1"/>
    <brk id="114" max="255" man="1"/>
    <brk id="120" max="255" man="1"/>
    <brk id="174" max="255" man="1"/>
    <brk id="184" max="255" man="1"/>
    <brk id="198" max="255" man="1"/>
    <brk id="210" max="255" man="1"/>
    <brk id="257" max="5" man="1"/>
    <brk id="293" max="5" man="1"/>
    <brk id="318" max="255" man="1"/>
    <brk id="335" max="255" man="1"/>
    <brk id="383" max="5" man="1"/>
    <brk id="429" max="5" man="1"/>
    <brk id="474" max="255" man="1"/>
    <brk id="519" max="255" man="1"/>
    <brk id="564" max="255" man="1"/>
    <brk id="600" max="5" man="1"/>
    <brk id="645" max="255" man="1"/>
    <brk id="681" max="5" man="1"/>
    <brk id="726" max="255" man="1"/>
    <brk id="771" max="255" man="1"/>
    <brk id="817" max="255" man="1"/>
    <brk id="859" max="5" man="1"/>
    <brk id="906" max="255" man="1"/>
    <brk id="953" max="255" man="1"/>
    <brk id="999" max="255" man="1"/>
    <brk id="1010" max="255" man="1"/>
    <brk id="1033" max="255" man="1"/>
    <brk id="1062" max="255" man="1"/>
    <brk id="1084" max="255" man="1"/>
    <brk id="1129" max="255" man="1"/>
    <brk id="1163" max="255" man="1"/>
  </rowBreaks>
</worksheet>
</file>

<file path=xl/worksheets/sheet11.xml><?xml version="1.0" encoding="utf-8"?>
<worksheet xmlns="http://schemas.openxmlformats.org/spreadsheetml/2006/main" xmlns:r="http://schemas.openxmlformats.org/officeDocument/2006/relationships">
  <dimension ref="A1:IJ993"/>
  <sheetViews>
    <sheetView view="pageBreakPreview" zoomScale="75" zoomScaleSheetLayoutView="75" zoomScalePageLayoutView="0" workbookViewId="0" topLeftCell="A67">
      <selection activeCell="B80" sqref="B80"/>
    </sheetView>
  </sheetViews>
  <sheetFormatPr defaultColWidth="9.140625" defaultRowHeight="12.75"/>
  <cols>
    <col min="1" max="1" width="7.421875" style="75" customWidth="1"/>
    <col min="2" max="2" width="47.421875" style="4" customWidth="1"/>
    <col min="3" max="3" width="4.8515625" style="2" customWidth="1"/>
    <col min="4" max="4" width="13.57421875" style="3" customWidth="1"/>
    <col min="5" max="5" width="8.7109375" style="182" customWidth="1"/>
    <col min="6" max="6" width="13.421875" style="182" customWidth="1"/>
    <col min="7" max="8" width="9.140625" style="4" customWidth="1"/>
    <col min="9" max="9" width="8.57421875" style="4" customWidth="1"/>
    <col min="10" max="16384" width="9.140625" style="4" customWidth="1"/>
  </cols>
  <sheetData>
    <row r="1" ht="11.25" customHeight="1">
      <c r="B1" s="1"/>
    </row>
    <row r="2" spans="1:6" s="7" customFormat="1" ht="15.75">
      <c r="A2" s="1338" t="s">
        <v>177</v>
      </c>
      <c r="B2" s="1338"/>
      <c r="C2" s="1338"/>
      <c r="D2" s="1338"/>
      <c r="E2" s="184"/>
      <c r="F2" s="184"/>
    </row>
    <row r="3" spans="1:6" s="7" customFormat="1" ht="15.75" customHeight="1">
      <c r="A3" s="77"/>
      <c r="B3" s="8"/>
      <c r="C3" s="5"/>
      <c r="D3" s="6"/>
      <c r="E3" s="184"/>
      <c r="F3" s="184"/>
    </row>
    <row r="4" spans="1:6" s="7" customFormat="1" ht="12.75">
      <c r="A4" s="85" t="s">
        <v>3149</v>
      </c>
      <c r="B4" s="9" t="s">
        <v>3150</v>
      </c>
      <c r="C4" s="5"/>
      <c r="D4" s="6"/>
      <c r="E4" s="184"/>
      <c r="F4" s="184"/>
    </row>
    <row r="5" spans="1:6" s="7" customFormat="1" ht="9.75" customHeight="1">
      <c r="A5" s="76"/>
      <c r="C5" s="5"/>
      <c r="D5" s="6"/>
      <c r="E5" s="184"/>
      <c r="F5" s="184"/>
    </row>
    <row r="6" spans="1:6" s="7" customFormat="1" ht="12.75">
      <c r="A6" s="85">
        <v>1</v>
      </c>
      <c r="B6" s="7" t="s">
        <v>3151</v>
      </c>
      <c r="C6" s="5" t="s">
        <v>3152</v>
      </c>
      <c r="D6" s="324">
        <f>F68</f>
        <v>516050.75397706183</v>
      </c>
      <c r="E6" s="184"/>
      <c r="F6" s="184"/>
    </row>
    <row r="7" spans="1:6" s="7" customFormat="1" ht="12.75">
      <c r="A7" s="85"/>
      <c r="C7" s="5"/>
      <c r="D7" s="324"/>
      <c r="E7" s="184"/>
      <c r="F7" s="184"/>
    </row>
    <row r="8" spans="1:6" s="7" customFormat="1" ht="12.75">
      <c r="A8" s="85">
        <v>2</v>
      </c>
      <c r="B8" s="7" t="s">
        <v>3153</v>
      </c>
      <c r="C8" s="5" t="s">
        <v>3154</v>
      </c>
      <c r="D8" s="324">
        <f>F111</f>
        <v>1397195.332588497</v>
      </c>
      <c r="E8" s="184"/>
      <c r="F8" s="184"/>
    </row>
    <row r="9" spans="1:6" s="7" customFormat="1" ht="12.75">
      <c r="A9" s="85"/>
      <c r="C9" s="5"/>
      <c r="D9" s="324"/>
      <c r="E9" s="184"/>
      <c r="F9" s="184"/>
    </row>
    <row r="10" spans="1:6" s="7" customFormat="1" ht="12.75">
      <c r="A10" s="85">
        <v>3</v>
      </c>
      <c r="B10" s="10" t="s">
        <v>3155</v>
      </c>
      <c r="C10" s="5" t="s">
        <v>3154</v>
      </c>
      <c r="D10" s="324">
        <f>F117</f>
        <v>34512.68160678256</v>
      </c>
      <c r="E10" s="184"/>
      <c r="F10" s="184"/>
    </row>
    <row r="11" spans="1:6" s="7" customFormat="1" ht="9.75" customHeight="1">
      <c r="A11" s="85"/>
      <c r="C11" s="5"/>
      <c r="D11" s="325"/>
      <c r="E11" s="184"/>
      <c r="F11" s="184"/>
    </row>
    <row r="12" spans="1:6" s="7" customFormat="1" ht="13.5" thickBot="1">
      <c r="A12" s="85"/>
      <c r="B12" s="11" t="s">
        <v>3156</v>
      </c>
      <c r="C12" s="5" t="s">
        <v>3154</v>
      </c>
      <c r="D12" s="326">
        <f>D6+D8+D10</f>
        <v>1947758.7681723414</v>
      </c>
      <c r="E12" s="184"/>
      <c r="F12" s="184"/>
    </row>
    <row r="13" spans="1:6" s="7" customFormat="1" ht="10.5" customHeight="1" thickTop="1">
      <c r="A13" s="85"/>
      <c r="C13" s="5"/>
      <c r="D13" s="327"/>
      <c r="E13" s="184"/>
      <c r="F13" s="184"/>
    </row>
    <row r="14" spans="1:6" s="9" customFormat="1" ht="12.75">
      <c r="A14" s="85" t="s">
        <v>3157</v>
      </c>
      <c r="B14" s="9" t="s">
        <v>3158</v>
      </c>
      <c r="C14" s="12"/>
      <c r="D14" s="328"/>
      <c r="E14" s="426"/>
      <c r="F14" s="426"/>
    </row>
    <row r="15" spans="1:6" s="7" customFormat="1" ht="10.5" customHeight="1">
      <c r="A15" s="85"/>
      <c r="C15" s="5"/>
      <c r="D15" s="323"/>
      <c r="E15" s="184"/>
      <c r="F15" s="184"/>
    </row>
    <row r="16" spans="1:6" s="7" customFormat="1" ht="12.75">
      <c r="A16" s="85">
        <v>1</v>
      </c>
      <c r="B16" s="7" t="s">
        <v>3153</v>
      </c>
      <c r="C16" s="5" t="s">
        <v>3152</v>
      </c>
      <c r="D16" s="443">
        <f>F170</f>
        <v>5851680.4012760855</v>
      </c>
      <c r="E16" s="184"/>
      <c r="F16" s="184"/>
    </row>
    <row r="17" spans="1:6" s="7" customFormat="1" ht="12.75">
      <c r="A17" s="85"/>
      <c r="C17" s="5"/>
      <c r="D17" s="443"/>
      <c r="E17" s="184"/>
      <c r="F17" s="184"/>
    </row>
    <row r="18" spans="1:6" s="7" customFormat="1" ht="12.75">
      <c r="A18" s="85">
        <v>2</v>
      </c>
      <c r="B18" s="7" t="s">
        <v>3159</v>
      </c>
      <c r="C18" s="5" t="s">
        <v>3154</v>
      </c>
      <c r="D18" s="443">
        <f>F182</f>
        <v>1107452.7682590303</v>
      </c>
      <c r="E18" s="184"/>
      <c r="F18" s="184"/>
    </row>
    <row r="19" spans="1:6" s="7" customFormat="1" ht="12.75">
      <c r="A19" s="85"/>
      <c r="C19" s="5"/>
      <c r="D19" s="443"/>
      <c r="E19" s="184"/>
      <c r="F19" s="184"/>
    </row>
    <row r="20" spans="1:6" s="7" customFormat="1" ht="12.75">
      <c r="A20" s="85">
        <v>3</v>
      </c>
      <c r="B20" s="7" t="s">
        <v>3160</v>
      </c>
      <c r="C20" s="5" t="s">
        <v>3154</v>
      </c>
      <c r="D20" s="444">
        <f>F196</f>
        <v>323675.2644536934</v>
      </c>
      <c r="E20" s="184"/>
      <c r="F20" s="184"/>
    </row>
    <row r="21" spans="1:6" s="7" customFormat="1" ht="12.75">
      <c r="A21" s="85"/>
      <c r="C21" s="5"/>
      <c r="D21" s="444"/>
      <c r="E21" s="184"/>
      <c r="F21" s="184"/>
    </row>
    <row r="22" spans="1:6" s="7" customFormat="1" ht="12.75">
      <c r="A22" s="85">
        <v>4</v>
      </c>
      <c r="B22" s="7" t="s">
        <v>3161</v>
      </c>
      <c r="C22" s="5" t="s">
        <v>3154</v>
      </c>
      <c r="D22" s="443">
        <f>F212</f>
        <v>602070.0523305655</v>
      </c>
      <c r="E22" s="184"/>
      <c r="F22" s="184"/>
    </row>
    <row r="23" spans="1:6" s="7" customFormat="1" ht="12.75">
      <c r="A23" s="85"/>
      <c r="C23" s="5"/>
      <c r="D23" s="443"/>
      <c r="E23" s="184"/>
      <c r="F23" s="184"/>
    </row>
    <row r="24" spans="1:6" s="7" customFormat="1" ht="12.75">
      <c r="A24" s="85">
        <v>5</v>
      </c>
      <c r="B24" s="7" t="s">
        <v>3162</v>
      </c>
      <c r="C24" s="5" t="s">
        <v>3154</v>
      </c>
      <c r="D24" s="443">
        <f>F262</f>
        <v>2733693.7406317024</v>
      </c>
      <c r="E24" s="184"/>
      <c r="F24" s="184"/>
    </row>
    <row r="25" spans="1:6" s="7" customFormat="1" ht="12.75">
      <c r="A25" s="85"/>
      <c r="C25" s="5"/>
      <c r="D25" s="443"/>
      <c r="E25" s="184"/>
      <c r="F25" s="184"/>
    </row>
    <row r="26" spans="1:6" s="7" customFormat="1" ht="12.75">
      <c r="A26" s="85">
        <v>6</v>
      </c>
      <c r="B26" s="7" t="s">
        <v>3163</v>
      </c>
      <c r="C26" s="5" t="s">
        <v>3154</v>
      </c>
      <c r="D26" s="443">
        <f>F313</f>
        <v>3806648.102852024</v>
      </c>
      <c r="E26" s="184"/>
      <c r="F26" s="184"/>
    </row>
    <row r="27" spans="1:6" s="7" customFormat="1" ht="12.75">
      <c r="A27" s="85"/>
      <c r="C27" s="5"/>
      <c r="D27" s="443"/>
      <c r="E27" s="184"/>
      <c r="F27" s="184"/>
    </row>
    <row r="28" spans="1:6" s="13" customFormat="1" ht="12.75">
      <c r="A28" s="167">
        <v>7</v>
      </c>
      <c r="B28" s="13" t="s">
        <v>3164</v>
      </c>
      <c r="C28" s="14" t="s">
        <v>3154</v>
      </c>
      <c r="D28" s="444">
        <f>F322</f>
        <v>172975.29402622077</v>
      </c>
      <c r="E28" s="65"/>
      <c r="F28" s="65"/>
    </row>
    <row r="29" spans="1:6" s="13" customFormat="1" ht="12.75">
      <c r="A29" s="167"/>
      <c r="C29" s="14"/>
      <c r="D29" s="444"/>
      <c r="E29" s="65"/>
      <c r="F29" s="65"/>
    </row>
    <row r="30" spans="1:6" s="7" customFormat="1" ht="12.75">
      <c r="A30" s="85">
        <v>8</v>
      </c>
      <c r="B30" s="7" t="s">
        <v>3165</v>
      </c>
      <c r="C30" s="5" t="s">
        <v>3154</v>
      </c>
      <c r="D30" s="443">
        <f>F338</f>
        <v>303997.3901078251</v>
      </c>
      <c r="E30" s="184"/>
      <c r="F30" s="184"/>
    </row>
    <row r="31" spans="1:6" s="7" customFormat="1" ht="12.75">
      <c r="A31" s="85"/>
      <c r="B31" s="4"/>
      <c r="C31" s="5"/>
      <c r="D31" s="324"/>
      <c r="E31" s="184"/>
      <c r="F31" s="184"/>
    </row>
    <row r="32" spans="1:6" s="7" customFormat="1" ht="12.75">
      <c r="A32" s="85">
        <v>9</v>
      </c>
      <c r="B32" s="7" t="s">
        <v>3166</v>
      </c>
      <c r="C32" s="5" t="s">
        <v>3154</v>
      </c>
      <c r="D32" s="324">
        <f>F726</f>
        <v>478366.2055299681</v>
      </c>
      <c r="E32" s="184"/>
      <c r="F32" s="184"/>
    </row>
    <row r="33" spans="1:6" s="7" customFormat="1" ht="12.75">
      <c r="A33" s="85"/>
      <c r="C33" s="5"/>
      <c r="D33" s="324"/>
      <c r="E33" s="184"/>
      <c r="F33" s="184"/>
    </row>
    <row r="34" spans="1:6" s="7" customFormat="1" ht="12.75">
      <c r="A34" s="85">
        <v>10</v>
      </c>
      <c r="B34" s="7" t="s">
        <v>3167</v>
      </c>
      <c r="C34" s="5" t="s">
        <v>3154</v>
      </c>
      <c r="D34" s="324">
        <f>F899</f>
        <v>998308.0542232019</v>
      </c>
      <c r="E34" s="184"/>
      <c r="F34" s="184"/>
    </row>
    <row r="35" spans="1:6" s="7" customFormat="1" ht="11.25" customHeight="1">
      <c r="A35" s="85"/>
      <c r="C35" s="5"/>
      <c r="D35" s="324"/>
      <c r="E35" s="184"/>
      <c r="F35" s="184"/>
    </row>
    <row r="36" spans="1:6" s="7" customFormat="1" ht="10.5" customHeight="1">
      <c r="A36" s="76"/>
      <c r="B36" s="4"/>
      <c r="C36" s="5"/>
      <c r="D36" s="324"/>
      <c r="E36" s="184"/>
      <c r="F36" s="184"/>
    </row>
    <row r="37" spans="1:6" s="7" customFormat="1" ht="13.5" thickBot="1">
      <c r="A37" s="76"/>
      <c r="B37" s="11" t="s">
        <v>3168</v>
      </c>
      <c r="C37" s="5" t="s">
        <v>3154</v>
      </c>
      <c r="D37" s="326">
        <f>SUM(D15:D36)</f>
        <v>16378867.273690317</v>
      </c>
      <c r="E37" s="184"/>
      <c r="F37" s="184"/>
    </row>
    <row r="38" spans="1:6" s="7" customFormat="1" ht="11.25" customHeight="1" thickTop="1">
      <c r="A38" s="76"/>
      <c r="B38" s="11"/>
      <c r="C38" s="5"/>
      <c r="D38" s="330"/>
      <c r="E38" s="184"/>
      <c r="F38" s="184"/>
    </row>
    <row r="39" spans="1:6" s="7" customFormat="1" ht="13.5" thickBot="1">
      <c r="A39" s="76"/>
      <c r="B39" s="11" t="s">
        <v>3169</v>
      </c>
      <c r="C39" s="5" t="s">
        <v>3154</v>
      </c>
      <c r="D39" s="331">
        <f>D37+D12</f>
        <v>18326626.04186266</v>
      </c>
      <c r="E39" s="184"/>
      <c r="F39" s="184"/>
    </row>
    <row r="40" spans="1:6" s="7" customFormat="1" ht="13.5" thickTop="1">
      <c r="A40" s="76"/>
      <c r="B40" s="11"/>
      <c r="C40" s="5"/>
      <c r="D40" s="15"/>
      <c r="E40" s="184"/>
      <c r="F40" s="184"/>
    </row>
    <row r="41" spans="1:6" s="7" customFormat="1" ht="12.75">
      <c r="A41" s="76"/>
      <c r="B41" s="16"/>
      <c r="C41" s="5"/>
      <c r="D41" s="15"/>
      <c r="E41" s="184"/>
      <c r="F41" s="184"/>
    </row>
    <row r="42" spans="1:4" ht="12.75">
      <c r="A42" s="17"/>
      <c r="B42" s="18"/>
      <c r="C42" s="19"/>
      <c r="D42" s="20"/>
    </row>
    <row r="43" spans="1:9" s="7" customFormat="1" ht="12.75">
      <c r="A43" s="21" t="s">
        <v>3174</v>
      </c>
      <c r="B43" s="21" t="s">
        <v>3175</v>
      </c>
      <c r="C43" s="22" t="s">
        <v>3176</v>
      </c>
      <c r="D43" s="23" t="s">
        <v>3177</v>
      </c>
      <c r="E43" s="427" t="s">
        <v>3178</v>
      </c>
      <c r="F43" s="427" t="s">
        <v>3179</v>
      </c>
      <c r="G43" s="13"/>
      <c r="H43" s="13"/>
      <c r="I43" s="13"/>
    </row>
    <row r="44" spans="1:9" s="7" customFormat="1" ht="1.5" customHeight="1">
      <c r="A44" s="78"/>
      <c r="B44" s="24"/>
      <c r="C44" s="22"/>
      <c r="D44" s="23"/>
      <c r="E44" s="65"/>
      <c r="F44" s="65"/>
      <c r="G44" s="13"/>
      <c r="H44" s="13"/>
      <c r="I44" s="13"/>
    </row>
    <row r="45" spans="1:9" ht="12.75">
      <c r="A45" s="55"/>
      <c r="B45" s="18"/>
      <c r="C45" s="19"/>
      <c r="D45" s="20"/>
      <c r="E45" s="54"/>
      <c r="F45" s="54"/>
      <c r="G45" s="18"/>
      <c r="H45" s="18"/>
      <c r="I45" s="18"/>
    </row>
    <row r="46" spans="1:4" ht="12.75">
      <c r="A46" s="242" t="s">
        <v>3149</v>
      </c>
      <c r="B46" s="25" t="s">
        <v>3150</v>
      </c>
      <c r="C46" s="19"/>
      <c r="D46" s="26"/>
    </row>
    <row r="47" spans="1:4" ht="12.75">
      <c r="A47" s="79"/>
      <c r="B47" s="27"/>
      <c r="C47" s="19"/>
      <c r="D47" s="26"/>
    </row>
    <row r="48" spans="1:4" ht="12.75">
      <c r="A48" s="243">
        <v>1</v>
      </c>
      <c r="B48" s="28" t="s">
        <v>3151</v>
      </c>
      <c r="C48" s="19"/>
      <c r="D48" s="26"/>
    </row>
    <row r="49" spans="1:4" ht="12.75">
      <c r="A49" s="243"/>
      <c r="B49" s="27"/>
      <c r="C49" s="19"/>
      <c r="D49" s="26"/>
    </row>
    <row r="50" spans="1:6" ht="16.5" customHeight="1">
      <c r="A50" s="244">
        <v>1.1</v>
      </c>
      <c r="B50" s="27" t="s">
        <v>1564</v>
      </c>
      <c r="C50" s="19" t="s">
        <v>1565</v>
      </c>
      <c r="D50" s="26">
        <v>368</v>
      </c>
      <c r="E50" s="229">
        <f>'Commercial Block'!E50</f>
        <v>7.114086000118828</v>
      </c>
      <c r="F50" s="471">
        <f>D50*E50</f>
        <v>2617.983648043729</v>
      </c>
    </row>
    <row r="51" spans="1:6" ht="12.75">
      <c r="A51" s="244"/>
      <c r="B51" s="27"/>
      <c r="C51" s="19"/>
      <c r="D51" s="26"/>
      <c r="E51" s="229"/>
      <c r="F51" s="471"/>
    </row>
    <row r="52" spans="1:6" ht="30.75" customHeight="1">
      <c r="A52" s="199">
        <v>1.2</v>
      </c>
      <c r="B52" s="27" t="s">
        <v>1566</v>
      </c>
      <c r="C52" s="19" t="s">
        <v>1567</v>
      </c>
      <c r="D52" s="26">
        <v>368</v>
      </c>
      <c r="E52" s="229">
        <f>'Cost break dow.'!V23</f>
        <v>77.26276732569973</v>
      </c>
      <c r="F52" s="471">
        <f>D52*E52</f>
        <v>28432.6983758575</v>
      </c>
    </row>
    <row r="53" spans="1:6" ht="11.25" customHeight="1">
      <c r="A53" s="199"/>
      <c r="B53" s="27"/>
      <c r="C53" s="19"/>
      <c r="D53" s="26"/>
      <c r="E53" s="229"/>
      <c r="F53" s="471"/>
    </row>
    <row r="54" spans="1:6" ht="29.25" customHeight="1">
      <c r="A54" s="244">
        <v>1.3</v>
      </c>
      <c r="B54" s="27" t="s">
        <v>3025</v>
      </c>
      <c r="C54" s="19" t="s">
        <v>1567</v>
      </c>
      <c r="D54" s="26">
        <v>344.09</v>
      </c>
      <c r="E54" s="229">
        <f>'Cost break dow.'!V23</f>
        <v>77.26276732569973</v>
      </c>
      <c r="F54" s="471">
        <f>D54*E54</f>
        <v>26585.34560910002</v>
      </c>
    </row>
    <row r="55" spans="1:6" ht="12.75">
      <c r="A55" s="87"/>
      <c r="B55" s="27"/>
      <c r="C55" s="19"/>
      <c r="D55" s="26"/>
      <c r="E55" s="229"/>
      <c r="F55" s="471"/>
    </row>
    <row r="56" spans="1:6" ht="30.75" customHeight="1">
      <c r="A56" s="244">
        <v>1.4</v>
      </c>
      <c r="B56" s="27" t="s">
        <v>1568</v>
      </c>
      <c r="C56" s="19" t="s">
        <v>1567</v>
      </c>
      <c r="D56" s="26">
        <v>344.09</v>
      </c>
      <c r="E56" s="229">
        <f>'Cost break dow.'!V23</f>
        <v>77.26276732569973</v>
      </c>
      <c r="F56" s="471">
        <f>D56*E56</f>
        <v>26585.34560910002</v>
      </c>
    </row>
    <row r="57" spans="1:6" ht="12.75">
      <c r="A57" s="87"/>
      <c r="B57" s="27"/>
      <c r="C57" s="19"/>
      <c r="D57" s="26"/>
      <c r="E57" s="229"/>
      <c r="F57" s="471"/>
    </row>
    <row r="58" spans="1:10" s="43" customFormat="1" ht="41.25" customHeight="1">
      <c r="A58" s="199">
        <v>1.5</v>
      </c>
      <c r="B58" s="84" t="s">
        <v>2160</v>
      </c>
      <c r="C58" s="2" t="s">
        <v>484</v>
      </c>
      <c r="D58" s="26">
        <v>24.5</v>
      </c>
      <c r="E58" s="460">
        <f>E56</f>
        <v>77.26276732569973</v>
      </c>
      <c r="F58" s="472">
        <f>F6</f>
        <v>0</v>
      </c>
      <c r="G58" s="72"/>
      <c r="H58" s="72"/>
      <c r="I58" s="72"/>
      <c r="J58" s="72"/>
    </row>
    <row r="59" spans="1:6" ht="12.75">
      <c r="A59" s="87"/>
      <c r="B59" s="27"/>
      <c r="C59" s="19"/>
      <c r="D59" s="26"/>
      <c r="E59" s="229"/>
      <c r="F59" s="471">
        <f>D58*E58</f>
        <v>1892.9377994796432</v>
      </c>
    </row>
    <row r="60" spans="1:6" ht="54" customHeight="1">
      <c r="A60" s="199">
        <v>1.6</v>
      </c>
      <c r="B60" s="27" t="s">
        <v>1569</v>
      </c>
      <c r="C60" s="19" t="s">
        <v>1567</v>
      </c>
      <c r="D60" s="26">
        <v>569.7</v>
      </c>
      <c r="E60" s="229">
        <f>'Cost break dow.'!V48</f>
        <v>126.28523433499151</v>
      </c>
      <c r="F60" s="471">
        <f>D60*E60</f>
        <v>71944.69800064467</v>
      </c>
    </row>
    <row r="61" spans="1:6" ht="11.25" customHeight="1">
      <c r="A61" s="4"/>
      <c r="B61" s="27"/>
      <c r="C61" s="19"/>
      <c r="D61" s="26"/>
      <c r="E61" s="229"/>
      <c r="F61" s="471"/>
    </row>
    <row r="62" spans="1:6" ht="14.25">
      <c r="A62" s="244">
        <v>1.7</v>
      </c>
      <c r="B62" s="27" t="s">
        <v>1570</v>
      </c>
      <c r="C62" s="19" t="s">
        <v>1567</v>
      </c>
      <c r="D62" s="26">
        <v>191.1</v>
      </c>
      <c r="E62" s="229">
        <f>E60</f>
        <v>126.28523433499151</v>
      </c>
      <c r="F62" s="471">
        <f>D62*E62</f>
        <v>24133.108281416877</v>
      </c>
    </row>
    <row r="63" spans="1:6" ht="12.75">
      <c r="A63" s="186"/>
      <c r="B63" s="27"/>
      <c r="C63" s="19"/>
      <c r="D63" s="26"/>
      <c r="E63" s="190"/>
      <c r="F63" s="471"/>
    </row>
    <row r="64" spans="1:6" ht="14.25">
      <c r="A64" s="199">
        <v>1.8</v>
      </c>
      <c r="B64" s="27" t="s">
        <v>1571</v>
      </c>
      <c r="C64" s="19" t="s">
        <v>1567</v>
      </c>
      <c r="D64" s="26">
        <v>1129.78</v>
      </c>
      <c r="E64" s="190">
        <f>'Cost break dow.'!V54</f>
        <v>97.80008633385177</v>
      </c>
      <c r="F64" s="471">
        <f>D64*E64</f>
        <v>110492.58153825905</v>
      </c>
    </row>
    <row r="65" spans="1:6" ht="12.75">
      <c r="A65" s="199"/>
      <c r="B65" s="27"/>
      <c r="C65" s="19"/>
      <c r="D65" s="26"/>
      <c r="E65" s="190"/>
      <c r="F65" s="471"/>
    </row>
    <row r="66" spans="1:6" ht="26.25" customHeight="1">
      <c r="A66" s="244">
        <v>1.9</v>
      </c>
      <c r="B66" s="27" t="s">
        <v>1572</v>
      </c>
      <c r="C66" s="19" t="s">
        <v>1565</v>
      </c>
      <c r="D66" s="26">
        <v>1738.12</v>
      </c>
      <c r="E66" s="229">
        <f>'Cost break dow.'!V59</f>
        <v>128.5101460860932</v>
      </c>
      <c r="F66" s="471">
        <f>D66*E66</f>
        <v>223366.05511516027</v>
      </c>
    </row>
    <row r="67" spans="1:6" ht="12.75">
      <c r="A67" s="186"/>
      <c r="B67" s="29"/>
      <c r="C67" s="19"/>
      <c r="D67" s="26"/>
      <c r="F67" s="473"/>
    </row>
    <row r="68" spans="1:6" ht="12.75">
      <c r="A68" s="199"/>
      <c r="B68" s="30" t="s">
        <v>1573</v>
      </c>
      <c r="C68" s="19"/>
      <c r="D68" s="26"/>
      <c r="F68" s="267">
        <f>F50+F52+F54+F56+F59+F60+F62+F64+F66</f>
        <v>516050.75397706183</v>
      </c>
    </row>
    <row r="69" spans="1:6" ht="11.25" customHeight="1">
      <c r="A69" s="199"/>
      <c r="B69" s="31"/>
      <c r="C69" s="19"/>
      <c r="D69" s="26"/>
      <c r="F69" s="229"/>
    </row>
    <row r="70" spans="1:6" s="7" customFormat="1" ht="12.75">
      <c r="A70" s="243" t="s">
        <v>1574</v>
      </c>
      <c r="B70" s="28" t="s">
        <v>3153</v>
      </c>
      <c r="C70" s="14"/>
      <c r="D70" s="32"/>
      <c r="E70" s="184"/>
      <c r="F70" s="184"/>
    </row>
    <row r="71" spans="1:4" ht="9.75" customHeight="1">
      <c r="A71" s="186"/>
      <c r="B71" s="29"/>
      <c r="C71" s="19"/>
      <c r="D71" s="26"/>
    </row>
    <row r="72" spans="1:4" ht="12.75">
      <c r="A72" s="186"/>
      <c r="B72" s="27" t="s">
        <v>1575</v>
      </c>
      <c r="C72" s="19"/>
      <c r="D72" s="26"/>
    </row>
    <row r="73" spans="1:6" ht="12.75">
      <c r="A73" s="186"/>
      <c r="B73" s="27"/>
      <c r="C73" s="19"/>
      <c r="D73" s="26"/>
      <c r="F73" s="473"/>
    </row>
    <row r="74" spans="1:6" ht="14.25">
      <c r="A74" s="186">
        <v>2.1</v>
      </c>
      <c r="B74" s="27" t="s">
        <v>1576</v>
      </c>
      <c r="C74" s="19" t="s">
        <v>1565</v>
      </c>
      <c r="D74" s="26">
        <v>134.01</v>
      </c>
      <c r="E74" s="196">
        <f>'Commercial Block'!E74</f>
        <v>71.15213622038112</v>
      </c>
      <c r="F74" s="471">
        <f>D74*E74</f>
        <v>9535.097774893275</v>
      </c>
    </row>
    <row r="75" spans="1:6" ht="12.75">
      <c r="A75" s="186"/>
      <c r="B75" s="27"/>
      <c r="C75" s="19"/>
      <c r="D75" s="26"/>
      <c r="E75" s="196"/>
      <c r="F75" s="471"/>
    </row>
    <row r="76" spans="1:6" ht="14.25">
      <c r="A76" s="186">
        <v>2.2</v>
      </c>
      <c r="B76" s="27" t="s">
        <v>3009</v>
      </c>
      <c r="C76" s="19" t="s">
        <v>1565</v>
      </c>
      <c r="D76" s="26">
        <v>24.5</v>
      </c>
      <c r="E76" s="196">
        <f>E74</f>
        <v>71.15213622038112</v>
      </c>
      <c r="F76" s="471">
        <f>D76*E76</f>
        <v>1743.2273373993376</v>
      </c>
    </row>
    <row r="77" spans="1:6" ht="12.75">
      <c r="A77" s="186"/>
      <c r="B77" s="27"/>
      <c r="C77" s="19"/>
      <c r="D77" s="26"/>
      <c r="E77" s="196"/>
      <c r="F77" s="471"/>
    </row>
    <row r="78" spans="1:6" ht="14.25">
      <c r="A78" s="186">
        <v>2.3</v>
      </c>
      <c r="B78" s="27" t="s">
        <v>3010</v>
      </c>
      <c r="C78" s="19" t="s">
        <v>1565</v>
      </c>
      <c r="D78" s="26">
        <v>12.6</v>
      </c>
      <c r="E78" s="196">
        <f>E76</f>
        <v>71.15213622038112</v>
      </c>
      <c r="F78" s="471">
        <f>D78*E78</f>
        <v>896.5169163768021</v>
      </c>
    </row>
    <row r="79" spans="1:6" ht="9" customHeight="1">
      <c r="A79" s="186"/>
      <c r="B79" s="27"/>
      <c r="C79" s="19"/>
      <c r="D79" s="26"/>
      <c r="E79" s="196"/>
      <c r="F79" s="471"/>
    </row>
    <row r="80" spans="1:6" ht="43.5" customHeight="1">
      <c r="A80" s="17"/>
      <c r="B80" s="27" t="s">
        <v>1070</v>
      </c>
      <c r="C80" s="19"/>
      <c r="D80" s="26"/>
      <c r="E80" s="196"/>
      <c r="F80" s="471"/>
    </row>
    <row r="81" spans="1:6" ht="12.75">
      <c r="A81" s="17"/>
      <c r="B81" s="27"/>
      <c r="C81" s="19"/>
      <c r="D81" s="26"/>
      <c r="E81" s="196"/>
      <c r="F81" s="471"/>
    </row>
    <row r="82" spans="1:6" ht="14.25" customHeight="1">
      <c r="A82" s="186">
        <v>2.4</v>
      </c>
      <c r="B82" s="27" t="s">
        <v>1071</v>
      </c>
      <c r="C82" s="19" t="s">
        <v>1567</v>
      </c>
      <c r="D82" s="26">
        <v>110.68</v>
      </c>
      <c r="E82" s="196">
        <f>'Cost break dow.'!V102</f>
        <v>2350.4052110607972</v>
      </c>
      <c r="F82" s="471">
        <f>D82*E82</f>
        <v>260142.84876020905</v>
      </c>
    </row>
    <row r="83" spans="1:6" ht="10.5" customHeight="1">
      <c r="A83" s="186"/>
      <c r="B83" s="27"/>
      <c r="C83" s="19"/>
      <c r="D83" s="26"/>
      <c r="E83" s="196"/>
      <c r="F83" s="471"/>
    </row>
    <row r="84" spans="1:6" ht="13.5" customHeight="1">
      <c r="A84" s="186">
        <v>2.5</v>
      </c>
      <c r="B84" s="27" t="s">
        <v>1072</v>
      </c>
      <c r="C84" s="19" t="s">
        <v>1567</v>
      </c>
      <c r="D84" s="26">
        <v>7.8</v>
      </c>
      <c r="E84" s="196">
        <f>E82</f>
        <v>2350.4052110607972</v>
      </c>
      <c r="F84" s="471">
        <f>D84*E84</f>
        <v>18333.160646274217</v>
      </c>
    </row>
    <row r="85" spans="1:6" ht="10.5" customHeight="1">
      <c r="A85" s="186"/>
      <c r="B85" s="27"/>
      <c r="C85" s="19"/>
      <c r="D85" s="26"/>
      <c r="E85" s="196"/>
      <c r="F85" s="471"/>
    </row>
    <row r="86" spans="1:6" ht="14.25">
      <c r="A86" s="186">
        <v>2.6</v>
      </c>
      <c r="B86" s="27" t="s">
        <v>1671</v>
      </c>
      <c r="C86" s="19" t="s">
        <v>1567</v>
      </c>
      <c r="D86" s="20">
        <v>18.9</v>
      </c>
      <c r="E86" s="196">
        <f>E84</f>
        <v>2350.4052110607972</v>
      </c>
      <c r="F86" s="471">
        <f>D86*E86</f>
        <v>44422.65848904906</v>
      </c>
    </row>
    <row r="87" spans="1:6" ht="12.75">
      <c r="A87" s="186"/>
      <c r="B87" s="27"/>
      <c r="C87" s="19"/>
      <c r="D87" s="20"/>
      <c r="F87" s="471"/>
    </row>
    <row r="88" spans="1:6" ht="14.25">
      <c r="A88" s="186">
        <v>2.7</v>
      </c>
      <c r="B88" s="27" t="s">
        <v>1672</v>
      </c>
      <c r="C88" s="19" t="s">
        <v>1565</v>
      </c>
      <c r="D88" s="26">
        <v>1738.12</v>
      </c>
      <c r="E88" s="196">
        <f>0.1*E86</f>
        <v>235.04052110607972</v>
      </c>
      <c r="F88" s="471">
        <f>D88*E88</f>
        <v>408528.63054489926</v>
      </c>
    </row>
    <row r="89" spans="1:6" s="36" customFormat="1" ht="10.5" customHeight="1">
      <c r="A89" s="165"/>
      <c r="B89" s="33"/>
      <c r="C89" s="34"/>
      <c r="D89" s="35"/>
      <c r="E89" s="428"/>
      <c r="F89" s="474"/>
    </row>
    <row r="90" spans="1:6" ht="16.5" customHeight="1">
      <c r="A90" s="186"/>
      <c r="B90" s="27" t="s">
        <v>1673</v>
      </c>
      <c r="C90" s="19"/>
      <c r="D90" s="26"/>
      <c r="F90" s="461"/>
    </row>
    <row r="91" spans="1:6" ht="12.75">
      <c r="A91" s="186"/>
      <c r="B91" s="27"/>
      <c r="C91" s="19"/>
      <c r="D91" s="26"/>
      <c r="E91" s="190"/>
      <c r="F91" s="461"/>
    </row>
    <row r="92" spans="1:6" ht="14.25">
      <c r="A92" s="245">
        <v>2.8</v>
      </c>
      <c r="B92" s="27" t="s">
        <v>1674</v>
      </c>
      <c r="C92" s="19" t="s">
        <v>1565</v>
      </c>
      <c r="D92" s="26">
        <v>111.4</v>
      </c>
      <c r="E92" s="190">
        <f>'Cost break dow.'!V118</f>
        <v>290.32734629873335</v>
      </c>
      <c r="F92" s="471">
        <f>D92*E92</f>
        <v>32342.466377678895</v>
      </c>
    </row>
    <row r="93" spans="1:6" ht="11.25" customHeight="1">
      <c r="A93" s="186"/>
      <c r="B93" s="27"/>
      <c r="C93" s="19"/>
      <c r="D93" s="26"/>
      <c r="E93" s="190"/>
      <c r="F93" s="471"/>
    </row>
    <row r="94" spans="1:6" ht="14.25">
      <c r="A94" s="186">
        <v>2.9</v>
      </c>
      <c r="B94" s="29" t="s">
        <v>1675</v>
      </c>
      <c r="C94" s="19" t="s">
        <v>1565</v>
      </c>
      <c r="D94" s="26">
        <v>56.76</v>
      </c>
      <c r="E94" s="190">
        <f>E92</f>
        <v>290.32734629873335</v>
      </c>
      <c r="F94" s="471">
        <f>D94*E94</f>
        <v>16478.980175916106</v>
      </c>
    </row>
    <row r="95" spans="1:6" ht="9.75" customHeight="1">
      <c r="A95" s="186"/>
      <c r="B95" s="29"/>
      <c r="C95" s="19"/>
      <c r="D95" s="26"/>
      <c r="E95" s="190"/>
      <c r="F95" s="471"/>
    </row>
    <row r="96" spans="1:6" ht="14.25">
      <c r="A96" s="187">
        <v>2.1</v>
      </c>
      <c r="B96" s="27" t="s">
        <v>1676</v>
      </c>
      <c r="C96" s="19" t="s">
        <v>1565</v>
      </c>
      <c r="D96" s="26">
        <v>126</v>
      </c>
      <c r="E96" s="190">
        <f>E94</f>
        <v>290.32734629873335</v>
      </c>
      <c r="F96" s="471">
        <f>D96*E96</f>
        <v>36581.2456336404</v>
      </c>
    </row>
    <row r="97" spans="1:6" ht="12.75">
      <c r="A97" s="186"/>
      <c r="B97" s="27"/>
      <c r="C97" s="19"/>
      <c r="D97" s="26"/>
      <c r="F97" s="473"/>
    </row>
    <row r="98" spans="1:6" ht="38.25">
      <c r="A98" s="186"/>
      <c r="B98" s="27" t="s">
        <v>85</v>
      </c>
      <c r="C98" s="19"/>
      <c r="D98" s="26"/>
      <c r="F98" s="473"/>
    </row>
    <row r="99" spans="1:6" ht="10.5" customHeight="1">
      <c r="A99" s="186"/>
      <c r="B99" s="27"/>
      <c r="C99" s="19"/>
      <c r="D99" s="26"/>
      <c r="E99" s="190"/>
      <c r="F99" s="473"/>
    </row>
    <row r="100" spans="1:6" ht="12.75">
      <c r="A100" s="186">
        <v>2.11</v>
      </c>
      <c r="B100" s="27" t="s">
        <v>3026</v>
      </c>
      <c r="C100" s="19" t="s">
        <v>86</v>
      </c>
      <c r="D100" s="26">
        <v>1523.39</v>
      </c>
      <c r="E100" s="190">
        <f>'Cost break dow.'!V125</f>
        <v>28.227542033120493</v>
      </c>
      <c r="F100" s="471">
        <f>D100*E100</f>
        <v>43001.55525783543</v>
      </c>
    </row>
    <row r="101" spans="1:6" ht="10.5" customHeight="1">
      <c r="A101" s="186"/>
      <c r="B101" s="27"/>
      <c r="C101" s="19"/>
      <c r="D101" s="26"/>
      <c r="E101" s="190"/>
      <c r="F101" s="471"/>
    </row>
    <row r="102" spans="1:6" ht="12.75">
      <c r="A102" s="186">
        <v>2.12</v>
      </c>
      <c r="B102" s="27" t="s">
        <v>485</v>
      </c>
      <c r="C102" s="19" t="s">
        <v>86</v>
      </c>
      <c r="D102" s="26">
        <v>265.19</v>
      </c>
      <c r="E102" s="190">
        <f>E100</f>
        <v>28.227542033120493</v>
      </c>
      <c r="F102" s="471">
        <f>D102*E102</f>
        <v>7485.661871763224</v>
      </c>
    </row>
    <row r="103" spans="1:6" ht="11.25" customHeight="1">
      <c r="A103" s="186"/>
      <c r="B103" s="27"/>
      <c r="C103" s="19"/>
      <c r="D103" s="26"/>
      <c r="E103" s="190"/>
      <c r="F103" s="471"/>
    </row>
    <row r="104" spans="1:6" ht="12.75">
      <c r="A104" s="186">
        <v>2.13</v>
      </c>
      <c r="B104" s="27" t="s">
        <v>87</v>
      </c>
      <c r="C104" s="19" t="s">
        <v>86</v>
      </c>
      <c r="D104" s="26">
        <v>7331.84</v>
      </c>
      <c r="E104" s="190">
        <f>E102</f>
        <v>28.227542033120493</v>
      </c>
      <c r="F104" s="471">
        <f>D104*E104</f>
        <v>206959.82178011414</v>
      </c>
    </row>
    <row r="105" spans="1:6" ht="12.75">
      <c r="A105" s="186"/>
      <c r="B105" s="27"/>
      <c r="C105" s="19"/>
      <c r="D105" s="26"/>
      <c r="E105" s="190"/>
      <c r="F105" s="471"/>
    </row>
    <row r="106" spans="1:6" ht="12.75">
      <c r="A106" s="186">
        <v>2.14</v>
      </c>
      <c r="B106" s="27" t="s">
        <v>88</v>
      </c>
      <c r="C106" s="19" t="s">
        <v>86</v>
      </c>
      <c r="D106" s="26">
        <v>3621.93</v>
      </c>
      <c r="E106" s="190">
        <f>E104</f>
        <v>28.227542033120493</v>
      </c>
      <c r="F106" s="471">
        <f>D106*E106</f>
        <v>102238.1813160201</v>
      </c>
    </row>
    <row r="107" spans="1:6" ht="9" customHeight="1">
      <c r="A107" s="186"/>
      <c r="B107" s="27"/>
      <c r="C107" s="19"/>
      <c r="D107" s="26"/>
      <c r="E107" s="190"/>
      <c r="F107" s="471"/>
    </row>
    <row r="108" spans="1:6" ht="12.75">
      <c r="A108" s="186">
        <v>2.15</v>
      </c>
      <c r="B108" s="27" t="s">
        <v>91</v>
      </c>
      <c r="C108" s="19" t="s">
        <v>86</v>
      </c>
      <c r="D108" s="26">
        <v>7386.59</v>
      </c>
      <c r="E108" s="190">
        <f>E106</f>
        <v>28.227542033120493</v>
      </c>
      <c r="F108" s="471">
        <f>D108*E108</f>
        <v>208505.2797064275</v>
      </c>
    </row>
    <row r="109" spans="1:6" ht="10.5" customHeight="1">
      <c r="A109" s="186"/>
      <c r="B109" s="27"/>
      <c r="C109" s="19"/>
      <c r="D109" s="26"/>
      <c r="F109" s="471"/>
    </row>
    <row r="110" spans="1:6" ht="12.75">
      <c r="A110" s="186"/>
      <c r="B110" s="18"/>
      <c r="C110" s="19"/>
      <c r="D110" s="26"/>
      <c r="F110" s="471"/>
    </row>
    <row r="111" spans="1:6" ht="12.75">
      <c r="A111" s="186"/>
      <c r="B111" s="30" t="s">
        <v>93</v>
      </c>
      <c r="C111" s="19"/>
      <c r="D111" s="26"/>
      <c r="F111" s="475">
        <f>F74+F76+F78+F82+F84+F86+F88+F92+F94+F96+F100+F102+F104+F106+F108</f>
        <v>1397195.332588497</v>
      </c>
    </row>
    <row r="112" spans="1:6" ht="12" customHeight="1">
      <c r="A112" s="187"/>
      <c r="B112" s="31"/>
      <c r="C112" s="19"/>
      <c r="D112" s="26"/>
      <c r="F112" s="473"/>
    </row>
    <row r="113" spans="1:6" s="36" customFormat="1" ht="12.75">
      <c r="A113" s="246">
        <v>3</v>
      </c>
      <c r="B113" s="10" t="s">
        <v>3155</v>
      </c>
      <c r="C113" s="34"/>
      <c r="D113" s="35"/>
      <c r="E113" s="428"/>
      <c r="F113" s="476"/>
    </row>
    <row r="114" spans="1:6" s="36" customFormat="1" ht="11.25" customHeight="1">
      <c r="A114" s="165"/>
      <c r="B114" s="33"/>
      <c r="C114" s="34"/>
      <c r="D114" s="35"/>
      <c r="E114" s="428"/>
      <c r="F114" s="476"/>
    </row>
    <row r="115" spans="1:6" s="36" customFormat="1" ht="33.75" customHeight="1">
      <c r="A115" s="165">
        <v>3.1</v>
      </c>
      <c r="B115" s="33" t="s">
        <v>2259</v>
      </c>
      <c r="C115" s="19" t="s">
        <v>1567</v>
      </c>
      <c r="D115" s="37">
        <v>24.5</v>
      </c>
      <c r="E115" s="460">
        <f>'Cost break dow.'!V136</f>
        <v>1408.680881909492</v>
      </c>
      <c r="F115" s="477">
        <f>D115*E115</f>
        <v>34512.68160678256</v>
      </c>
    </row>
    <row r="116" spans="1:6" s="36" customFormat="1" ht="10.5" customHeight="1">
      <c r="A116" s="199"/>
      <c r="B116" s="33"/>
      <c r="C116" s="19"/>
      <c r="D116" s="37"/>
      <c r="E116" s="428"/>
      <c r="F116" s="428"/>
    </row>
    <row r="117" spans="2:6" s="36" customFormat="1" ht="12.75">
      <c r="B117" s="38" t="s">
        <v>2260</v>
      </c>
      <c r="C117" s="39"/>
      <c r="D117" s="37"/>
      <c r="E117" s="428"/>
      <c r="F117" s="478">
        <f>F115</f>
        <v>34512.68160678256</v>
      </c>
    </row>
    <row r="118" spans="2:6" s="36" customFormat="1" ht="12.75">
      <c r="B118" s="38"/>
      <c r="C118" s="39"/>
      <c r="D118" s="37"/>
      <c r="E118" s="428"/>
      <c r="F118" s="476"/>
    </row>
    <row r="119" spans="1:6" s="8" customFormat="1" ht="12.75" customHeight="1">
      <c r="A119" s="242" t="s">
        <v>3157</v>
      </c>
      <c r="B119" s="25" t="s">
        <v>2261</v>
      </c>
      <c r="C119" s="40"/>
      <c r="D119" s="41"/>
      <c r="E119" s="467"/>
      <c r="F119" s="479"/>
    </row>
    <row r="120" spans="1:6" ht="10.5" customHeight="1">
      <c r="A120" s="165"/>
      <c r="B120" s="29"/>
      <c r="C120" s="19"/>
      <c r="D120" s="26"/>
      <c r="F120" s="473"/>
    </row>
    <row r="121" spans="1:6" s="7" customFormat="1" ht="12.75">
      <c r="A121" s="243">
        <v>1</v>
      </c>
      <c r="B121" s="28" t="s">
        <v>3153</v>
      </c>
      <c r="C121" s="14"/>
      <c r="D121" s="32"/>
      <c r="E121" s="184"/>
      <c r="F121" s="480"/>
    </row>
    <row r="122" spans="1:6" ht="8.25" customHeight="1">
      <c r="A122" s="165"/>
      <c r="B122" s="27"/>
      <c r="C122" s="19"/>
      <c r="D122" s="26"/>
      <c r="F122" s="473"/>
    </row>
    <row r="123" spans="2:6" ht="42" customHeight="1">
      <c r="B123" s="27" t="s">
        <v>2262</v>
      </c>
      <c r="C123" s="19"/>
      <c r="D123" s="26"/>
      <c r="F123" s="473"/>
    </row>
    <row r="124" spans="1:6" ht="12.75">
      <c r="A124" s="186"/>
      <c r="B124" s="27"/>
      <c r="C124" s="19"/>
      <c r="D124" s="26"/>
      <c r="E124" s="190"/>
      <c r="F124" s="473"/>
    </row>
    <row r="125" spans="1:6" ht="14.25">
      <c r="A125" s="186">
        <v>1.1</v>
      </c>
      <c r="B125" s="27" t="s">
        <v>2263</v>
      </c>
      <c r="C125" s="19" t="s">
        <v>1567</v>
      </c>
      <c r="D125" s="26">
        <v>68</v>
      </c>
      <c r="E125" s="190">
        <f>'Cost break dow.'!V102</f>
        <v>2350.4052110607972</v>
      </c>
      <c r="F125" s="471">
        <f>D125*E125</f>
        <v>159827.5543521342</v>
      </c>
    </row>
    <row r="126" spans="1:6" ht="12.75">
      <c r="A126" s="199"/>
      <c r="B126" s="27"/>
      <c r="C126" s="19"/>
      <c r="D126" s="26"/>
      <c r="E126" s="190"/>
      <c r="F126" s="471"/>
    </row>
    <row r="127" spans="1:6" ht="14.25">
      <c r="A127" s="199">
        <v>1.2</v>
      </c>
      <c r="B127" s="27" t="s">
        <v>1577</v>
      </c>
      <c r="C127" s="19" t="s">
        <v>1567</v>
      </c>
      <c r="D127" s="26">
        <v>340</v>
      </c>
      <c r="E127" s="190">
        <f>E125</f>
        <v>2350.4052110607972</v>
      </c>
      <c r="F127" s="471">
        <f>D127*E127</f>
        <v>799137.771760671</v>
      </c>
    </row>
    <row r="128" spans="1:6" ht="12.75">
      <c r="A128" s="199"/>
      <c r="B128" s="27"/>
      <c r="C128" s="19"/>
      <c r="D128" s="26"/>
      <c r="E128" s="190"/>
      <c r="F128" s="471"/>
    </row>
    <row r="129" spans="1:6" ht="15" customHeight="1">
      <c r="A129" s="199">
        <v>1.3</v>
      </c>
      <c r="B129" s="27" t="s">
        <v>150</v>
      </c>
      <c r="C129" s="19" t="s">
        <v>1565</v>
      </c>
      <c r="D129" s="26">
        <v>1747</v>
      </c>
      <c r="E129" s="190">
        <f>0.3*E127</f>
        <v>705.1215633182392</v>
      </c>
      <c r="F129" s="471">
        <f>D129*E129</f>
        <v>1231847.371116964</v>
      </c>
    </row>
    <row r="130" spans="1:6" ht="12.75">
      <c r="A130" s="199"/>
      <c r="B130" s="27"/>
      <c r="C130" s="19"/>
      <c r="D130" s="26"/>
      <c r="E130" s="190"/>
      <c r="F130" s="471"/>
    </row>
    <row r="131" spans="1:6" ht="14.25">
      <c r="A131" s="199">
        <v>1.4</v>
      </c>
      <c r="B131" s="27" t="s">
        <v>1580</v>
      </c>
      <c r="C131" s="19" t="s">
        <v>3011</v>
      </c>
      <c r="D131" s="26">
        <v>30</v>
      </c>
      <c r="E131" s="190">
        <f>0.15*E127</f>
        <v>352.5607816591196</v>
      </c>
      <c r="F131" s="471">
        <f>D131*E131</f>
        <v>10576.823449773587</v>
      </c>
    </row>
    <row r="132" spans="1:6" ht="11.25" customHeight="1">
      <c r="A132" s="186"/>
      <c r="B132" s="27"/>
      <c r="C132" s="4"/>
      <c r="D132" s="26"/>
      <c r="E132" s="190"/>
      <c r="F132" s="471"/>
    </row>
    <row r="133" spans="1:6" ht="14.25">
      <c r="A133" s="186">
        <v>1.5</v>
      </c>
      <c r="B133" s="27" t="s">
        <v>2264</v>
      </c>
      <c r="C133" s="19" t="s">
        <v>1567</v>
      </c>
      <c r="D133" s="26">
        <v>26</v>
      </c>
      <c r="E133" s="190">
        <f>E127</f>
        <v>2350.4052110607972</v>
      </c>
      <c r="F133" s="471">
        <f>D133*E133</f>
        <v>61110.535487580724</v>
      </c>
    </row>
    <row r="134" spans="1:6" ht="12.75" customHeight="1">
      <c r="A134" s="199"/>
      <c r="B134" s="27"/>
      <c r="C134" s="19"/>
      <c r="D134" s="26"/>
      <c r="E134" s="190"/>
      <c r="F134" s="471"/>
    </row>
    <row r="135" spans="1:6" ht="14.25">
      <c r="A135" s="199">
        <v>1.6</v>
      </c>
      <c r="B135" s="27" t="s">
        <v>2265</v>
      </c>
      <c r="C135" s="19" t="s">
        <v>1565</v>
      </c>
      <c r="D135" s="26">
        <v>60</v>
      </c>
      <c r="E135" s="190">
        <f>0.1*E127</f>
        <v>235.04052110607972</v>
      </c>
      <c r="F135" s="471">
        <f>D135*E135</f>
        <v>14102.431266364783</v>
      </c>
    </row>
    <row r="136" spans="1:6" ht="12.75">
      <c r="A136" s="199"/>
      <c r="B136" s="27"/>
      <c r="C136" s="19"/>
      <c r="D136" s="26"/>
      <c r="E136" s="190"/>
      <c r="F136" s="471"/>
    </row>
    <row r="137" spans="1:6" ht="14.25">
      <c r="A137" s="186">
        <v>1.7</v>
      </c>
      <c r="B137" s="27" t="s">
        <v>237</v>
      </c>
      <c r="C137" s="19" t="s">
        <v>1565</v>
      </c>
      <c r="D137" s="26">
        <v>200</v>
      </c>
      <c r="E137" s="190">
        <f>0.2*E127</f>
        <v>470.08104221215945</v>
      </c>
      <c r="F137" s="471">
        <f>D137*E137</f>
        <v>94016.20844243189</v>
      </c>
    </row>
    <row r="138" spans="1:6" ht="9" customHeight="1">
      <c r="A138" s="186"/>
      <c r="B138" s="27"/>
      <c r="C138" s="19"/>
      <c r="D138" s="26"/>
      <c r="F138" s="471"/>
    </row>
    <row r="139" spans="1:6" ht="25.5">
      <c r="A139" s="247"/>
      <c r="B139" s="27" t="s">
        <v>238</v>
      </c>
      <c r="C139" s="19"/>
      <c r="D139" s="26"/>
      <c r="F139" s="471"/>
    </row>
    <row r="140" spans="1:6" ht="8.25" customHeight="1">
      <c r="A140" s="199"/>
      <c r="B140" s="27"/>
      <c r="C140" s="19"/>
      <c r="D140" s="26"/>
      <c r="E140" s="190"/>
      <c r="F140" s="471"/>
    </row>
    <row r="141" spans="1:6" ht="14.25">
      <c r="A141" s="186">
        <v>1.8</v>
      </c>
      <c r="B141" s="27" t="s">
        <v>2263</v>
      </c>
      <c r="C141" s="19" t="s">
        <v>1565</v>
      </c>
      <c r="D141" s="26">
        <v>491</v>
      </c>
      <c r="E141" s="190">
        <f>'Cost break dow.'!V118</f>
        <v>290.32734629873335</v>
      </c>
      <c r="F141" s="471">
        <f>D141*E141</f>
        <v>142550.72703267809</v>
      </c>
    </row>
    <row r="142" spans="1:6" ht="9" customHeight="1">
      <c r="A142" s="199"/>
      <c r="B142" s="27"/>
      <c r="C142" s="19"/>
      <c r="D142" s="26"/>
      <c r="E142" s="190"/>
      <c r="F142" s="461"/>
    </row>
    <row r="143" spans="1:6" ht="15.75" customHeight="1">
      <c r="A143" s="248">
        <v>1.9</v>
      </c>
      <c r="B143" s="27" t="s">
        <v>1577</v>
      </c>
      <c r="C143" s="19" t="s">
        <v>1565</v>
      </c>
      <c r="D143" s="26">
        <v>30</v>
      </c>
      <c r="E143" s="190">
        <f>E141</f>
        <v>290.32734629873335</v>
      </c>
      <c r="F143" s="471">
        <f>D143*E143</f>
        <v>8709.820388962</v>
      </c>
    </row>
    <row r="144" spans="1:6" ht="9.75" customHeight="1">
      <c r="A144" s="248"/>
      <c r="B144" s="27"/>
      <c r="C144" s="19"/>
      <c r="D144" s="26"/>
      <c r="E144" s="190"/>
      <c r="F144" s="471"/>
    </row>
    <row r="145" spans="1:6" ht="15.75" customHeight="1">
      <c r="A145" s="215">
        <v>1.1</v>
      </c>
      <c r="B145" s="27" t="s">
        <v>1578</v>
      </c>
      <c r="C145" s="19" t="s">
        <v>1565</v>
      </c>
      <c r="D145" s="26">
        <v>1747</v>
      </c>
      <c r="E145" s="190">
        <f>E143</f>
        <v>290.32734629873335</v>
      </c>
      <c r="F145" s="471">
        <f>D145*E145</f>
        <v>507201.87398388714</v>
      </c>
    </row>
    <row r="146" spans="1:6" ht="10.5" customHeight="1">
      <c r="A146" s="199"/>
      <c r="B146" s="27"/>
      <c r="C146" s="19"/>
      <c r="D146" s="26"/>
      <c r="E146" s="190"/>
      <c r="F146" s="471"/>
    </row>
    <row r="147" spans="1:6" ht="15.75" customHeight="1">
      <c r="A147" s="215">
        <v>1.11</v>
      </c>
      <c r="B147" s="27" t="s">
        <v>1579</v>
      </c>
      <c r="C147" s="19" t="s">
        <v>1565</v>
      </c>
      <c r="D147" s="26">
        <v>30</v>
      </c>
      <c r="E147" s="190">
        <f>E145</f>
        <v>290.32734629873335</v>
      </c>
      <c r="F147" s="471">
        <f>D147*E147</f>
        <v>8709.820388962</v>
      </c>
    </row>
    <row r="148" spans="1:6" ht="8.25" customHeight="1">
      <c r="A148" s="248"/>
      <c r="B148" s="27"/>
      <c r="C148" s="19"/>
      <c r="D148" s="26"/>
      <c r="E148" s="190"/>
      <c r="F148" s="471"/>
    </row>
    <row r="149" spans="1:6" ht="15" customHeight="1">
      <c r="A149" s="215">
        <v>1.12</v>
      </c>
      <c r="B149" s="27" t="s">
        <v>2264</v>
      </c>
      <c r="C149" s="19" t="s">
        <v>1565</v>
      </c>
      <c r="D149" s="26">
        <v>115</v>
      </c>
      <c r="E149" s="190">
        <f>E147</f>
        <v>290.32734629873335</v>
      </c>
      <c r="F149" s="471">
        <f>D149*E149</f>
        <v>33387.644824354335</v>
      </c>
    </row>
    <row r="150" spans="1:6" ht="9" customHeight="1">
      <c r="A150" s="199"/>
      <c r="B150" s="27"/>
      <c r="C150" s="19"/>
      <c r="D150" s="26"/>
      <c r="E150" s="190"/>
      <c r="F150" s="471"/>
    </row>
    <row r="151" spans="1:6" ht="13.5" customHeight="1">
      <c r="A151" s="199">
        <v>1.13</v>
      </c>
      <c r="B151" s="27" t="s">
        <v>2265</v>
      </c>
      <c r="C151" s="19" t="s">
        <v>1565</v>
      </c>
      <c r="D151" s="26">
        <v>200</v>
      </c>
      <c r="E151" s="190">
        <f>E149</f>
        <v>290.32734629873335</v>
      </c>
      <c r="F151" s="471">
        <f>D151*E151</f>
        <v>58065.46925974667</v>
      </c>
    </row>
    <row r="152" spans="1:6" ht="9" customHeight="1">
      <c r="A152" s="199"/>
      <c r="B152" s="27"/>
      <c r="C152" s="19"/>
      <c r="D152" s="26"/>
      <c r="E152" s="190"/>
      <c r="F152" s="471"/>
    </row>
    <row r="153" spans="1:6" ht="14.25">
      <c r="A153" s="215">
        <v>1.14</v>
      </c>
      <c r="B153" s="27" t="s">
        <v>237</v>
      </c>
      <c r="C153" s="19" t="s">
        <v>1565</v>
      </c>
      <c r="D153" s="26">
        <v>400</v>
      </c>
      <c r="E153" s="190">
        <f>E151</f>
        <v>290.32734629873335</v>
      </c>
      <c r="F153" s="471">
        <f>D153*E153</f>
        <v>116130.93851949334</v>
      </c>
    </row>
    <row r="154" spans="1:6" ht="9.75" customHeight="1">
      <c r="A154" s="186"/>
      <c r="B154" s="27"/>
      <c r="C154" s="19"/>
      <c r="D154" s="26"/>
      <c r="F154" s="471"/>
    </row>
    <row r="155" spans="1:6" ht="38.25">
      <c r="A155" s="186"/>
      <c r="B155" s="27" t="s">
        <v>85</v>
      </c>
      <c r="C155" s="19"/>
      <c r="D155" s="26"/>
      <c r="F155" s="471"/>
    </row>
    <row r="156" spans="1:6" ht="9" customHeight="1">
      <c r="A156" s="186"/>
      <c r="B156" s="27"/>
      <c r="C156" s="19"/>
      <c r="D156" s="26"/>
      <c r="E156" s="190"/>
      <c r="F156" s="471"/>
    </row>
    <row r="157" spans="1:6" ht="12.75">
      <c r="A157" s="187">
        <v>1.15</v>
      </c>
      <c r="B157" s="27" t="s">
        <v>1581</v>
      </c>
      <c r="C157" s="19" t="s">
        <v>86</v>
      </c>
      <c r="D157" s="26">
        <v>8807</v>
      </c>
      <c r="E157" s="190">
        <f>'Cost break dow.'!V125</f>
        <v>28.227542033120493</v>
      </c>
      <c r="F157" s="471">
        <f>D157*E157</f>
        <v>248599.96268569218</v>
      </c>
    </row>
    <row r="158" spans="1:6" ht="10.5" customHeight="1">
      <c r="A158" s="186"/>
      <c r="B158" s="27"/>
      <c r="C158" s="19"/>
      <c r="D158" s="26"/>
      <c r="E158" s="190"/>
      <c r="F158" s="471"/>
    </row>
    <row r="159" spans="1:6" ht="15" customHeight="1">
      <c r="A159" s="187">
        <v>1.16</v>
      </c>
      <c r="B159" s="27" t="s">
        <v>1582</v>
      </c>
      <c r="C159" s="19" t="s">
        <v>86</v>
      </c>
      <c r="D159" s="26">
        <v>20035</v>
      </c>
      <c r="E159" s="190">
        <f>E157</f>
        <v>28.227542033120493</v>
      </c>
      <c r="F159" s="471">
        <f>D159*E159</f>
        <v>565538.8046335691</v>
      </c>
    </row>
    <row r="160" spans="1:6" ht="10.5" customHeight="1">
      <c r="A160" s="87"/>
      <c r="B160" s="27"/>
      <c r="C160" s="19"/>
      <c r="D160" s="26"/>
      <c r="E160" s="190"/>
      <c r="F160" s="471"/>
    </row>
    <row r="161" spans="1:6" ht="11.25" customHeight="1">
      <c r="A161" s="187">
        <v>1.17</v>
      </c>
      <c r="B161" s="27" t="s">
        <v>40</v>
      </c>
      <c r="C161" s="19" t="s">
        <v>86</v>
      </c>
      <c r="D161" s="3">
        <v>15926</v>
      </c>
      <c r="E161" s="190">
        <f>E159</f>
        <v>28.227542033120493</v>
      </c>
      <c r="F161" s="471">
        <f>D161*E161</f>
        <v>449551.834419477</v>
      </c>
    </row>
    <row r="162" spans="1:6" ht="10.5" customHeight="1">
      <c r="A162" s="87"/>
      <c r="B162" s="27"/>
      <c r="C162" s="19"/>
      <c r="E162" s="190"/>
      <c r="F162" s="473"/>
    </row>
    <row r="163" spans="1:6" ht="12.75">
      <c r="A163" s="187">
        <v>1.18</v>
      </c>
      <c r="B163" s="27" t="s">
        <v>41</v>
      </c>
      <c r="C163" s="19" t="s">
        <v>86</v>
      </c>
      <c r="D163" s="26">
        <v>7431</v>
      </c>
      <c r="E163" s="190">
        <f>E161</f>
        <v>28.227542033120493</v>
      </c>
      <c r="F163" s="471">
        <f>D163*E163</f>
        <v>209758.8648481184</v>
      </c>
    </row>
    <row r="164" spans="1:6" ht="10.5" customHeight="1">
      <c r="A164" s="87"/>
      <c r="B164" s="27"/>
      <c r="C164" s="19"/>
      <c r="D164" s="26"/>
      <c r="E164" s="190"/>
      <c r="F164" s="471"/>
    </row>
    <row r="165" spans="1:6" ht="12.75">
      <c r="A165" s="187">
        <v>1.19</v>
      </c>
      <c r="B165" s="27" t="s">
        <v>42</v>
      </c>
      <c r="C165" s="19" t="s">
        <v>86</v>
      </c>
      <c r="D165" s="26">
        <v>6434</v>
      </c>
      <c r="E165" s="190">
        <f>E163</f>
        <v>28.227542033120493</v>
      </c>
      <c r="F165" s="471">
        <f>D165*E165</f>
        <v>181616.00544109725</v>
      </c>
    </row>
    <row r="166" spans="1:6" ht="10.5" customHeight="1">
      <c r="A166" s="87"/>
      <c r="B166" s="27"/>
      <c r="C166" s="19"/>
      <c r="D166" s="26"/>
      <c r="E166" s="190"/>
      <c r="F166" s="471"/>
    </row>
    <row r="167" spans="1:6" ht="12.75">
      <c r="A167" s="187">
        <v>1.2</v>
      </c>
      <c r="B167" s="27" t="s">
        <v>43</v>
      </c>
      <c r="C167" s="19" t="s">
        <v>86</v>
      </c>
      <c r="D167" s="26">
        <v>5133</v>
      </c>
      <c r="E167" s="190">
        <f>E165</f>
        <v>28.227542033120493</v>
      </c>
      <c r="F167" s="471">
        <f>D167*E167</f>
        <v>144891.97325600748</v>
      </c>
    </row>
    <row r="168" spans="1:6" ht="8.25" customHeight="1">
      <c r="A168" s="186"/>
      <c r="B168" s="27"/>
      <c r="C168" s="19"/>
      <c r="D168" s="26"/>
      <c r="E168" s="190"/>
      <c r="F168" s="471"/>
    </row>
    <row r="169" spans="1:6" ht="12.75">
      <c r="A169" s="187">
        <v>1.21</v>
      </c>
      <c r="B169" s="27" t="s">
        <v>91</v>
      </c>
      <c r="C169" s="19" t="s">
        <v>86</v>
      </c>
      <c r="D169" s="26">
        <v>28566</v>
      </c>
      <c r="E169" s="190">
        <f>E167</f>
        <v>28.227542033120493</v>
      </c>
      <c r="F169" s="471">
        <f>D169*E169</f>
        <v>806347.96571812</v>
      </c>
    </row>
    <row r="170" spans="2:6" s="36" customFormat="1" ht="12.75">
      <c r="B170" s="38" t="s">
        <v>2260</v>
      </c>
      <c r="C170" s="39"/>
      <c r="D170" s="37"/>
      <c r="E170" s="468"/>
      <c r="F170" s="481">
        <f>F125+F127+F129+F131+F133+F135+F137+F141+F143+F145+F147+F149+F151+F153+F157+F159+F161+F163+F165+F167+F169</f>
        <v>5851680.4012760855</v>
      </c>
    </row>
    <row r="171" spans="2:4" ht="12" customHeight="1">
      <c r="B171" s="18"/>
      <c r="C171" s="19"/>
      <c r="D171" s="26"/>
    </row>
    <row r="172" spans="1:6" s="7" customFormat="1" ht="12.75">
      <c r="A172" s="243" t="s">
        <v>44</v>
      </c>
      <c r="B172" s="28" t="s">
        <v>45</v>
      </c>
      <c r="C172" s="14"/>
      <c r="D172" s="32"/>
      <c r="E172" s="184"/>
      <c r="F172" s="184"/>
    </row>
    <row r="173" spans="1:6" s="7" customFormat="1" ht="12.75">
      <c r="A173" s="243"/>
      <c r="B173" s="27"/>
      <c r="C173" s="14"/>
      <c r="D173" s="32"/>
      <c r="E173" s="184"/>
      <c r="F173" s="184"/>
    </row>
    <row r="174" spans="1:4" ht="12.75">
      <c r="A174" s="244"/>
      <c r="B174" s="27"/>
      <c r="C174" s="19"/>
      <c r="D174" s="26"/>
    </row>
    <row r="175" spans="1:6" ht="25.5">
      <c r="A175" s="244">
        <v>2.1</v>
      </c>
      <c r="B175" s="27" t="s">
        <v>118</v>
      </c>
      <c r="C175" s="19" t="s">
        <v>1565</v>
      </c>
      <c r="D175" s="26">
        <v>1466.99</v>
      </c>
      <c r="E175" s="229">
        <f>'Cost break dow.'!V166</f>
        <v>369.41420113170915</v>
      </c>
      <c r="F175" s="471">
        <f>D175*E175</f>
        <v>541926.938918206</v>
      </c>
    </row>
    <row r="176" spans="1:6" ht="12.75">
      <c r="A176" s="186"/>
      <c r="B176" s="29"/>
      <c r="C176" s="19"/>
      <c r="D176" s="26"/>
      <c r="F176" s="471"/>
    </row>
    <row r="177" spans="1:7" ht="14.25">
      <c r="A177" s="244">
        <v>2.2</v>
      </c>
      <c r="B177" s="27" t="s">
        <v>119</v>
      </c>
      <c r="C177" s="19" t="s">
        <v>1565</v>
      </c>
      <c r="D177" s="26">
        <v>1742.31</v>
      </c>
      <c r="E177" s="229">
        <f>'Cost break dow.'!V171</f>
        <v>304.7980754805711</v>
      </c>
      <c r="F177" s="471">
        <f>D177*E177</f>
        <v>531052.7348905538</v>
      </c>
      <c r="G177" s="42"/>
    </row>
    <row r="178" spans="1:6" ht="12.75">
      <c r="A178" s="244"/>
      <c r="B178" s="27"/>
      <c r="C178" s="19"/>
      <c r="D178" s="26"/>
      <c r="F178" s="471"/>
    </row>
    <row r="179" spans="1:6" ht="14.25">
      <c r="A179" s="244">
        <v>2.3</v>
      </c>
      <c r="B179" s="27" t="s">
        <v>120</v>
      </c>
      <c r="C179" s="19" t="s">
        <v>1565</v>
      </c>
      <c r="D179" s="26">
        <v>126.52</v>
      </c>
      <c r="E179" s="229">
        <f>'Cost break dow.'!V176</f>
        <v>272.47150213618875</v>
      </c>
      <c r="F179" s="471">
        <f>D179*E179</f>
        <v>34473.0944502706</v>
      </c>
    </row>
    <row r="180" spans="2:6" ht="11.25" customHeight="1">
      <c r="B180" s="27"/>
      <c r="C180" s="19"/>
      <c r="D180" s="26"/>
      <c r="F180" s="471"/>
    </row>
    <row r="181" spans="2:6" ht="11.25" customHeight="1">
      <c r="B181" s="27"/>
      <c r="C181" s="19"/>
      <c r="D181" s="26"/>
      <c r="F181" s="471"/>
    </row>
    <row r="182" spans="2:6" ht="12.75">
      <c r="B182" s="30" t="s">
        <v>1573</v>
      </c>
      <c r="C182" s="19"/>
      <c r="D182" s="26"/>
      <c r="F182" s="475">
        <f>F175+F177+F179</f>
        <v>1107452.7682590303</v>
      </c>
    </row>
    <row r="183" spans="2:4" ht="12.75">
      <c r="B183" s="29"/>
      <c r="C183" s="19"/>
      <c r="D183" s="26"/>
    </row>
    <row r="184" spans="1:6" s="43" customFormat="1" ht="12.75">
      <c r="A184" s="243">
        <v>3</v>
      </c>
      <c r="B184" s="28" t="s">
        <v>3160</v>
      </c>
      <c r="C184" s="19"/>
      <c r="D184" s="26"/>
      <c r="E184" s="179"/>
      <c r="F184" s="179"/>
    </row>
    <row r="185" spans="1:6" s="43" customFormat="1" ht="12.75">
      <c r="A185" s="243"/>
      <c r="B185" s="27"/>
      <c r="C185" s="19"/>
      <c r="D185" s="26"/>
      <c r="E185" s="179"/>
      <c r="F185" s="179"/>
    </row>
    <row r="186" spans="1:6" s="43" customFormat="1" ht="25.5">
      <c r="A186" s="199">
        <v>3.1</v>
      </c>
      <c r="B186" s="27" t="s">
        <v>121</v>
      </c>
      <c r="C186" s="19" t="s">
        <v>1565</v>
      </c>
      <c r="D186" s="26">
        <v>461</v>
      </c>
      <c r="E186" s="179">
        <f>'Cost break dow.'!V246</f>
        <v>161.5626438294266</v>
      </c>
      <c r="F186" s="471">
        <f>D186*E186</f>
        <v>74480.37880536566</v>
      </c>
    </row>
    <row r="187" spans="1:6" s="43" customFormat="1" ht="12.75">
      <c r="A187" s="199"/>
      <c r="B187" s="27"/>
      <c r="C187" s="19"/>
      <c r="D187" s="26"/>
      <c r="E187" s="179"/>
      <c r="F187" s="471"/>
    </row>
    <row r="188" spans="1:6" s="43" customFormat="1" ht="25.5">
      <c r="A188" s="199">
        <v>3.2</v>
      </c>
      <c r="B188" s="27" t="s">
        <v>122</v>
      </c>
      <c r="C188" s="19" t="s">
        <v>1565</v>
      </c>
      <c r="D188" s="26">
        <v>461</v>
      </c>
      <c r="E188" s="179">
        <f>'Cost break dow.'!V252</f>
        <v>134.09004385797257</v>
      </c>
      <c r="F188" s="471">
        <f>D188*E188</f>
        <v>61815.510218525356</v>
      </c>
    </row>
    <row r="189" spans="1:6" s="43" customFormat="1" ht="12.75">
      <c r="A189" s="199"/>
      <c r="B189" s="27"/>
      <c r="C189" s="19"/>
      <c r="D189" s="26"/>
      <c r="E189" s="179"/>
      <c r="F189" s="471"/>
    </row>
    <row r="190" spans="1:6" s="43" customFormat="1" ht="31.5" customHeight="1">
      <c r="A190" s="199">
        <v>3.3</v>
      </c>
      <c r="B190" s="27" t="s">
        <v>2444</v>
      </c>
      <c r="C190" s="19" t="s">
        <v>1565</v>
      </c>
      <c r="D190" s="26">
        <v>461</v>
      </c>
      <c r="E190" s="179">
        <f>'Cost break dow.'!V380</f>
        <v>384.17608638115655</v>
      </c>
      <c r="F190" s="471">
        <f>D190*E190</f>
        <v>177105.17582171317</v>
      </c>
    </row>
    <row r="191" spans="1:6" s="43" customFormat="1" ht="12.75">
      <c r="A191" s="244"/>
      <c r="B191" s="27"/>
      <c r="C191" s="19"/>
      <c r="D191" s="26"/>
      <c r="E191" s="179"/>
      <c r="F191" s="471"/>
    </row>
    <row r="192" spans="1:6" s="43" customFormat="1" ht="29.25" customHeight="1">
      <c r="A192" s="215">
        <v>3.4</v>
      </c>
      <c r="B192" s="27" t="s">
        <v>1428</v>
      </c>
      <c r="C192" s="19" t="s">
        <v>92</v>
      </c>
      <c r="D192" s="26">
        <v>103.03</v>
      </c>
      <c r="E192" s="179">
        <f>'Cost break dow.'!V235</f>
        <v>82.911836763889</v>
      </c>
      <c r="F192" s="471">
        <f>D192*E192</f>
        <v>8542.406541783484</v>
      </c>
    </row>
    <row r="193" spans="1:6" s="43" customFormat="1" ht="12.75">
      <c r="A193" s="244"/>
      <c r="B193" s="27"/>
      <c r="C193" s="19"/>
      <c r="D193" s="26"/>
      <c r="E193" s="179"/>
      <c r="F193" s="471"/>
    </row>
    <row r="194" spans="1:6" s="43" customFormat="1" ht="28.5" customHeight="1">
      <c r="A194" s="17">
        <v>3.5</v>
      </c>
      <c r="B194" s="27" t="s">
        <v>2445</v>
      </c>
      <c r="C194" s="19" t="s">
        <v>92</v>
      </c>
      <c r="D194" s="26">
        <v>23.8</v>
      </c>
      <c r="E194" s="179">
        <f>'Cost break dow.'!V240</f>
        <v>72.76441455066129</v>
      </c>
      <c r="F194" s="471">
        <f>D194*E194</f>
        <v>1731.7930663057386</v>
      </c>
    </row>
    <row r="195" spans="2:6" s="43" customFormat="1" ht="12.75">
      <c r="B195" s="27"/>
      <c r="C195" s="19"/>
      <c r="D195" s="26"/>
      <c r="E195" s="179"/>
      <c r="F195" s="471"/>
    </row>
    <row r="196" spans="2:6" s="43" customFormat="1" ht="12.75">
      <c r="B196" s="30" t="s">
        <v>1573</v>
      </c>
      <c r="C196" s="19"/>
      <c r="D196" s="26"/>
      <c r="E196" s="179"/>
      <c r="F196" s="475">
        <f>F186+F188+F190+F192+F194</f>
        <v>323675.2644536934</v>
      </c>
    </row>
    <row r="197" spans="2:6" s="43" customFormat="1" ht="12.75">
      <c r="B197" s="31"/>
      <c r="C197" s="19"/>
      <c r="D197" s="26"/>
      <c r="E197" s="179"/>
      <c r="F197" s="482"/>
    </row>
    <row r="198" spans="1:6" s="43" customFormat="1" ht="12.75">
      <c r="A198" s="167">
        <v>4</v>
      </c>
      <c r="B198" s="13" t="s">
        <v>2446</v>
      </c>
      <c r="C198" s="19"/>
      <c r="D198" s="47"/>
      <c r="E198" s="179"/>
      <c r="F198" s="179"/>
    </row>
    <row r="199" spans="1:244" s="43" customFormat="1" ht="12.75">
      <c r="A199" s="48"/>
      <c r="B199" s="49"/>
      <c r="C199" s="48"/>
      <c r="D199" s="50"/>
      <c r="E199" s="429"/>
      <c r="F199" s="42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R199" s="49"/>
      <c r="BS199" s="49"/>
      <c r="BT199" s="49"/>
      <c r="BU199" s="49"/>
      <c r="BV199" s="49"/>
      <c r="BW199" s="49"/>
      <c r="BX199" s="49"/>
      <c r="BY199" s="49"/>
      <c r="BZ199" s="49"/>
      <c r="CA199" s="49"/>
      <c r="CB199" s="49"/>
      <c r="CC199" s="49"/>
      <c r="CD199" s="49"/>
      <c r="CE199" s="49"/>
      <c r="CF199" s="49"/>
      <c r="CG199" s="49"/>
      <c r="CH199" s="49"/>
      <c r="CI199" s="49"/>
      <c r="CJ199" s="49"/>
      <c r="CK199" s="49"/>
      <c r="CL199" s="49"/>
      <c r="CM199" s="49"/>
      <c r="CN199" s="49"/>
      <c r="CO199" s="49"/>
      <c r="CP199" s="49"/>
      <c r="CQ199" s="49"/>
      <c r="CR199" s="49"/>
      <c r="CS199" s="49"/>
      <c r="CT199" s="49"/>
      <c r="CU199" s="49"/>
      <c r="CV199" s="49"/>
      <c r="CW199" s="49"/>
      <c r="CX199" s="49"/>
      <c r="CY199" s="49"/>
      <c r="CZ199" s="49"/>
      <c r="DA199" s="49"/>
      <c r="DB199" s="49"/>
      <c r="DC199" s="49"/>
      <c r="DD199" s="49"/>
      <c r="DE199" s="49"/>
      <c r="DF199" s="49"/>
      <c r="DG199" s="49"/>
      <c r="DH199" s="49"/>
      <c r="DI199" s="49"/>
      <c r="DJ199" s="49"/>
      <c r="DK199" s="49"/>
      <c r="DL199" s="49"/>
      <c r="DM199" s="49"/>
      <c r="DN199" s="49"/>
      <c r="DO199" s="49"/>
      <c r="DP199" s="49"/>
      <c r="DQ199" s="49"/>
      <c r="DR199" s="49"/>
      <c r="DS199" s="49"/>
      <c r="DT199" s="49"/>
      <c r="DU199" s="49"/>
      <c r="DV199" s="49"/>
      <c r="DW199" s="49"/>
      <c r="DX199" s="49"/>
      <c r="DY199" s="49"/>
      <c r="DZ199" s="49"/>
      <c r="EA199" s="49"/>
      <c r="EB199" s="49"/>
      <c r="EC199" s="49"/>
      <c r="ED199" s="49"/>
      <c r="EE199" s="49"/>
      <c r="EF199" s="49"/>
      <c r="EG199" s="49"/>
      <c r="EH199" s="49"/>
      <c r="EI199" s="49"/>
      <c r="EJ199" s="49"/>
      <c r="EK199" s="49"/>
      <c r="EL199" s="49"/>
      <c r="EM199" s="49"/>
      <c r="EN199" s="49"/>
      <c r="EO199" s="49"/>
      <c r="EP199" s="49"/>
      <c r="EQ199" s="49"/>
      <c r="ER199" s="49"/>
      <c r="ES199" s="49"/>
      <c r="ET199" s="49"/>
      <c r="EU199" s="49"/>
      <c r="EV199" s="49"/>
      <c r="EW199" s="49"/>
      <c r="EX199" s="49"/>
      <c r="EY199" s="49"/>
      <c r="EZ199" s="49"/>
      <c r="FA199" s="49"/>
      <c r="FB199" s="49"/>
      <c r="FC199" s="49"/>
      <c r="FD199" s="49"/>
      <c r="FE199" s="49"/>
      <c r="FF199" s="49"/>
      <c r="FG199" s="49"/>
      <c r="FH199" s="49"/>
      <c r="FI199" s="49"/>
      <c r="FJ199" s="49"/>
      <c r="FK199" s="49"/>
      <c r="FL199" s="49"/>
      <c r="FM199" s="49"/>
      <c r="FN199" s="49"/>
      <c r="FO199" s="49"/>
      <c r="FP199" s="49"/>
      <c r="FQ199" s="49"/>
      <c r="FR199" s="49"/>
      <c r="FS199" s="49"/>
      <c r="FT199" s="49"/>
      <c r="FU199" s="49"/>
      <c r="FV199" s="49"/>
      <c r="FW199" s="49"/>
      <c r="FX199" s="49"/>
      <c r="FY199" s="49"/>
      <c r="FZ199" s="49"/>
      <c r="GA199" s="49"/>
      <c r="GB199" s="49"/>
      <c r="GC199" s="49"/>
      <c r="GD199" s="49"/>
      <c r="GE199" s="49"/>
      <c r="GF199" s="49"/>
      <c r="GG199" s="49"/>
      <c r="GH199" s="49"/>
      <c r="GI199" s="49"/>
      <c r="GJ199" s="49"/>
      <c r="GK199" s="49"/>
      <c r="GL199" s="49"/>
      <c r="GM199" s="49"/>
      <c r="GN199" s="49"/>
      <c r="GO199" s="49"/>
      <c r="GP199" s="49"/>
      <c r="GQ199" s="49"/>
      <c r="GR199" s="49"/>
      <c r="GS199" s="49"/>
      <c r="GT199" s="49"/>
      <c r="GU199" s="49"/>
      <c r="GV199" s="49"/>
      <c r="GW199" s="49"/>
      <c r="GX199" s="49"/>
      <c r="GY199" s="49"/>
      <c r="GZ199" s="49"/>
      <c r="HA199" s="49"/>
      <c r="HB199" s="49"/>
      <c r="HC199" s="49"/>
      <c r="HD199" s="49"/>
      <c r="HE199" s="49"/>
      <c r="HF199" s="49"/>
      <c r="HG199" s="49"/>
      <c r="HH199" s="49"/>
      <c r="HI199" s="49"/>
      <c r="HJ199" s="49"/>
      <c r="HK199" s="49"/>
      <c r="HL199" s="49"/>
      <c r="HM199" s="49"/>
      <c r="HN199" s="49"/>
      <c r="HO199" s="49"/>
      <c r="HP199" s="49"/>
      <c r="HQ199" s="49"/>
      <c r="HR199" s="49"/>
      <c r="HS199" s="49"/>
      <c r="HT199" s="49"/>
      <c r="HU199" s="49"/>
      <c r="HV199" s="49"/>
      <c r="HW199" s="49"/>
      <c r="HX199" s="49"/>
      <c r="HY199" s="49"/>
      <c r="HZ199" s="49"/>
      <c r="IA199" s="49"/>
      <c r="IB199" s="49"/>
      <c r="IC199" s="49"/>
      <c r="ID199" s="49"/>
      <c r="IE199" s="49"/>
      <c r="IF199" s="49"/>
      <c r="IG199" s="49"/>
      <c r="IH199" s="49"/>
      <c r="II199" s="49"/>
      <c r="IJ199" s="49"/>
    </row>
    <row r="200" spans="1:6" s="43" customFormat="1" ht="79.5" customHeight="1">
      <c r="A200" s="17"/>
      <c r="B200" s="18" t="s">
        <v>2849</v>
      </c>
      <c r="C200" s="19"/>
      <c r="D200" s="47"/>
      <c r="E200" s="179"/>
      <c r="F200" s="179"/>
    </row>
    <row r="201" spans="1:6" s="43" customFormat="1" ht="10.5" customHeight="1">
      <c r="A201" s="17"/>
      <c r="B201" s="18"/>
      <c r="C201" s="19"/>
      <c r="D201" s="47"/>
      <c r="E201" s="179"/>
      <c r="F201" s="482"/>
    </row>
    <row r="202" spans="1:6" s="43" customFormat="1" ht="12.75">
      <c r="A202" s="17">
        <v>4.1</v>
      </c>
      <c r="B202" s="18" t="s">
        <v>2008</v>
      </c>
      <c r="C202" s="19" t="s">
        <v>2850</v>
      </c>
      <c r="D202" s="47">
        <v>12</v>
      </c>
      <c r="E202" s="179">
        <f>0.9*3.1*'Cost break dow.'!V280</f>
        <v>5826.4843773925695</v>
      </c>
      <c r="F202" s="471">
        <f>D202*E202</f>
        <v>69917.81252871084</v>
      </c>
    </row>
    <row r="203" spans="1:6" s="43" customFormat="1" ht="12.75">
      <c r="A203" s="17"/>
      <c r="B203" s="18"/>
      <c r="C203" s="19"/>
      <c r="D203" s="47"/>
      <c r="E203" s="179"/>
      <c r="F203" s="471"/>
    </row>
    <row r="204" spans="1:6" s="43" customFormat="1" ht="12.75">
      <c r="A204" s="17">
        <v>4.2</v>
      </c>
      <c r="B204" s="18" t="s">
        <v>2009</v>
      </c>
      <c r="C204" s="19" t="s">
        <v>2850</v>
      </c>
      <c r="D204" s="47">
        <v>54</v>
      </c>
      <c r="E204" s="179">
        <f>0.8*3.1*'Cost break dow.'!V280</f>
        <v>5179.097224348951</v>
      </c>
      <c r="F204" s="471">
        <f>D204*E204</f>
        <v>279671.25011484337</v>
      </c>
    </row>
    <row r="205" spans="1:6" s="43" customFormat="1" ht="12.75">
      <c r="A205" s="17"/>
      <c r="B205" s="18"/>
      <c r="C205" s="19"/>
      <c r="D205" s="47"/>
      <c r="E205" s="179"/>
      <c r="F205" s="471"/>
    </row>
    <row r="206" spans="1:6" s="43" customFormat="1" ht="12.75">
      <c r="A206" s="17">
        <v>4.3</v>
      </c>
      <c r="B206" s="18" t="s">
        <v>113</v>
      </c>
      <c r="C206" s="19" t="s">
        <v>2850</v>
      </c>
      <c r="D206" s="47">
        <v>30</v>
      </c>
      <c r="E206" s="179">
        <f>0.7*3.1*'Cost break dow.'!V280</f>
        <v>4531.710071305331</v>
      </c>
      <c r="F206" s="471">
        <f>D206*E206</f>
        <v>135951.30213915993</v>
      </c>
    </row>
    <row r="207" spans="2:6" s="43" customFormat="1" ht="12.75">
      <c r="B207" s="18"/>
      <c r="C207" s="19"/>
      <c r="D207" s="47"/>
      <c r="E207" s="179"/>
      <c r="F207" s="471"/>
    </row>
    <row r="208" spans="1:6" s="43" customFormat="1" ht="14.25" customHeight="1">
      <c r="A208" s="17">
        <v>4.4</v>
      </c>
      <c r="B208" s="18" t="s">
        <v>114</v>
      </c>
      <c r="C208" s="19" t="s">
        <v>2850</v>
      </c>
      <c r="D208" s="47">
        <v>18</v>
      </c>
      <c r="E208" s="179">
        <f>1*3.1*'Cost break dow.'!V280</f>
        <v>6473.871530436189</v>
      </c>
      <c r="F208" s="471">
        <f>D208*E208</f>
        <v>116529.6875478514</v>
      </c>
    </row>
    <row r="209" spans="2:6" s="43" customFormat="1" ht="14.25" customHeight="1">
      <c r="B209" s="18"/>
      <c r="C209" s="19"/>
      <c r="D209" s="47"/>
      <c r="E209" s="179"/>
      <c r="F209" s="471"/>
    </row>
    <row r="210" spans="1:6" s="43" customFormat="1" ht="14.25" customHeight="1">
      <c r="A210" s="17"/>
      <c r="B210" s="18"/>
      <c r="C210" s="19"/>
      <c r="D210" s="47"/>
      <c r="E210" s="179"/>
      <c r="F210" s="471"/>
    </row>
    <row r="211" spans="1:6" s="43" customFormat="1" ht="12.75">
      <c r="A211" s="17"/>
      <c r="B211" s="18"/>
      <c r="C211" s="19"/>
      <c r="D211" s="47"/>
      <c r="E211" s="179"/>
      <c r="F211" s="471"/>
    </row>
    <row r="212" spans="1:6" ht="17.25" customHeight="1">
      <c r="A212" s="17"/>
      <c r="B212" s="51" t="s">
        <v>1573</v>
      </c>
      <c r="C212" s="52"/>
      <c r="D212" s="20"/>
      <c r="F212" s="475">
        <f>F202+F204+F206+F208</f>
        <v>602070.0523305655</v>
      </c>
    </row>
    <row r="213" spans="2:6" ht="12.75" customHeight="1">
      <c r="B213" s="18"/>
      <c r="C213" s="52"/>
      <c r="D213" s="20"/>
      <c r="F213" s="471"/>
    </row>
    <row r="214" spans="1:6" ht="13.5" customHeight="1">
      <c r="A214" s="167">
        <v>5</v>
      </c>
      <c r="B214" s="13" t="s">
        <v>3162</v>
      </c>
      <c r="C214" s="52"/>
      <c r="D214" s="20"/>
      <c r="F214" s="473"/>
    </row>
    <row r="215" spans="1:6" ht="13.5" customHeight="1">
      <c r="A215" s="17"/>
      <c r="B215" s="18"/>
      <c r="C215" s="52"/>
      <c r="D215" s="20"/>
      <c r="F215" s="473"/>
    </row>
    <row r="216" spans="1:6" ht="81" customHeight="1">
      <c r="A216" s="17">
        <v>5.1</v>
      </c>
      <c r="B216" s="18" t="s">
        <v>1068</v>
      </c>
      <c r="C216" s="52"/>
      <c r="D216" s="20"/>
      <c r="F216" s="473"/>
    </row>
    <row r="217" spans="1:6" ht="13.5" customHeight="1">
      <c r="A217" s="17">
        <v>5.2</v>
      </c>
      <c r="B217" s="18" t="s">
        <v>1069</v>
      </c>
      <c r="C217" s="19" t="s">
        <v>2850</v>
      </c>
      <c r="D217" s="20">
        <v>1</v>
      </c>
      <c r="E217" s="190">
        <f>2*3.1*'Cost break dow.'!V298</f>
        <v>6127.187567464532</v>
      </c>
      <c r="F217" s="483">
        <f>D217*E217</f>
        <v>6127.187567464532</v>
      </c>
    </row>
    <row r="218" spans="1:6" ht="11.25" customHeight="1">
      <c r="A218" s="17"/>
      <c r="B218" s="18"/>
      <c r="C218" s="52"/>
      <c r="D218" s="20"/>
      <c r="E218" s="229"/>
      <c r="F218" s="229"/>
    </row>
    <row r="219" spans="2:6" ht="182.25" customHeight="1">
      <c r="B219" s="27" t="s">
        <v>1991</v>
      </c>
      <c r="C219" s="52"/>
      <c r="D219" s="20"/>
      <c r="F219" s="229"/>
    </row>
    <row r="220" spans="2:6" ht="13.5" customHeight="1">
      <c r="B220" s="27"/>
      <c r="C220" s="52"/>
      <c r="D220" s="20"/>
      <c r="F220" s="229"/>
    </row>
    <row r="221" spans="2:6" ht="12.75" customHeight="1">
      <c r="B221" s="53" t="s">
        <v>1992</v>
      </c>
      <c r="C221" s="19"/>
      <c r="D221" s="20"/>
      <c r="F221" s="229"/>
    </row>
    <row r="222" spans="2:6" ht="10.5" customHeight="1">
      <c r="B222" s="18"/>
      <c r="C222" s="19"/>
      <c r="D222" s="20"/>
      <c r="F222" s="229"/>
    </row>
    <row r="223" spans="1:6" ht="14.25" customHeight="1">
      <c r="A223" s="17">
        <v>5.3</v>
      </c>
      <c r="B223" s="18" t="s">
        <v>1432</v>
      </c>
      <c r="C223" s="19" t="s">
        <v>2850</v>
      </c>
      <c r="D223" s="20">
        <v>6</v>
      </c>
      <c r="E223" s="190">
        <f>1.5*3.1*'Cost break dow.'!V312</f>
        <v>18145.199306439845</v>
      </c>
      <c r="F223" s="483">
        <f>D223*E223</f>
        <v>108871.19583863908</v>
      </c>
    </row>
    <row r="224" spans="1:6" ht="10.5" customHeight="1">
      <c r="A224" s="17"/>
      <c r="B224" s="18"/>
      <c r="C224" s="19"/>
      <c r="D224" s="20"/>
      <c r="E224" s="190"/>
      <c r="F224" s="483"/>
    </row>
    <row r="225" spans="1:6" ht="14.25" customHeight="1">
      <c r="A225" s="17">
        <v>5.4</v>
      </c>
      <c r="B225" s="18" t="s">
        <v>1433</v>
      </c>
      <c r="C225" s="19" t="s">
        <v>2850</v>
      </c>
      <c r="D225" s="20">
        <v>6</v>
      </c>
      <c r="E225" s="190">
        <f>4.6*3.1*'Cost break dow.'!V312</f>
        <v>55645.27787308218</v>
      </c>
      <c r="F225" s="483">
        <f>D225*E225</f>
        <v>333871.6672384931</v>
      </c>
    </row>
    <row r="226" spans="1:6" ht="12" customHeight="1">
      <c r="A226" s="17"/>
      <c r="B226" s="18"/>
      <c r="C226" s="19"/>
      <c r="D226" s="20"/>
      <c r="E226" s="190"/>
      <c r="F226" s="483"/>
    </row>
    <row r="227" spans="1:6" ht="14.25" customHeight="1">
      <c r="A227" s="17">
        <v>5.5</v>
      </c>
      <c r="B227" s="18" t="s">
        <v>1434</v>
      </c>
      <c r="C227" s="19" t="s">
        <v>2850</v>
      </c>
      <c r="D227" s="20">
        <v>6</v>
      </c>
      <c r="E227" s="229">
        <f>3.95*3.1*'Cost break dow.'!V312</f>
        <v>47782.358173624925</v>
      </c>
      <c r="F227" s="483">
        <f>D227*E227</f>
        <v>286694.14904174954</v>
      </c>
    </row>
    <row r="228" spans="1:6" ht="9" customHeight="1">
      <c r="A228" s="87"/>
      <c r="B228" s="18"/>
      <c r="C228" s="19"/>
      <c r="D228" s="20"/>
      <c r="E228" s="229"/>
      <c r="F228" s="483"/>
    </row>
    <row r="229" spans="1:6" ht="14.25" customHeight="1">
      <c r="A229" s="17">
        <v>5.6</v>
      </c>
      <c r="B229" s="18" t="s">
        <v>1997</v>
      </c>
      <c r="C229" s="19" t="s">
        <v>2850</v>
      </c>
      <c r="D229" s="20">
        <v>6</v>
      </c>
      <c r="E229" s="190">
        <f>3.65*3.1*'Cost break dow.'!V312</f>
        <v>44153.318312336945</v>
      </c>
      <c r="F229" s="483">
        <f>D229*E229</f>
        <v>264919.90987402166</v>
      </c>
    </row>
    <row r="230" spans="1:6" ht="10.5" customHeight="1">
      <c r="A230" s="87"/>
      <c r="B230" s="18"/>
      <c r="C230" s="19"/>
      <c r="D230" s="20"/>
      <c r="E230" s="190"/>
      <c r="F230" s="483"/>
    </row>
    <row r="231" spans="1:6" ht="14.25" customHeight="1">
      <c r="A231" s="17">
        <v>5.7</v>
      </c>
      <c r="B231" s="18" t="s">
        <v>1998</v>
      </c>
      <c r="C231" s="19" t="s">
        <v>2850</v>
      </c>
      <c r="D231" s="20">
        <v>1</v>
      </c>
      <c r="E231" s="190">
        <f>4.6*3.1*'Cost break dow.'!V312</f>
        <v>55645.27787308218</v>
      </c>
      <c r="F231" s="483">
        <f>D231*E231</f>
        <v>55645.27787308218</v>
      </c>
    </row>
    <row r="232" spans="1:7" ht="10.5" customHeight="1">
      <c r="A232" s="87"/>
      <c r="B232" s="18"/>
      <c r="C232" s="19"/>
      <c r="D232" s="20"/>
      <c r="E232" s="190"/>
      <c r="F232" s="483"/>
      <c r="G232" s="454"/>
    </row>
    <row r="233" spans="2:6" ht="12.75">
      <c r="B233" s="53" t="s">
        <v>1993</v>
      </c>
      <c r="C233" s="19"/>
      <c r="D233" s="20"/>
      <c r="E233" s="190"/>
      <c r="F233" s="483"/>
    </row>
    <row r="234" spans="2:6" ht="12.75">
      <c r="B234" s="18"/>
      <c r="C234" s="19"/>
      <c r="D234" s="20"/>
      <c r="E234" s="190"/>
      <c r="F234" s="483"/>
    </row>
    <row r="235" spans="1:6" ht="12.75">
      <c r="A235" s="17">
        <v>5.8</v>
      </c>
      <c r="B235" s="18" t="s">
        <v>1999</v>
      </c>
      <c r="C235" s="19" t="s">
        <v>2850</v>
      </c>
      <c r="D235" s="20">
        <v>1</v>
      </c>
      <c r="E235" s="190">
        <f>2.45*2.2*'Cost break dow.'!V312</f>
        <v>21032.822421873283</v>
      </c>
      <c r="F235" s="483">
        <f>D235*E235</f>
        <v>21032.822421873283</v>
      </c>
    </row>
    <row r="236" spans="1:6" ht="12.75">
      <c r="A236" s="87"/>
      <c r="B236" s="18"/>
      <c r="C236" s="19"/>
      <c r="D236" s="20"/>
      <c r="E236" s="190"/>
      <c r="F236" s="483"/>
    </row>
    <row r="237" spans="1:6" ht="12.75">
      <c r="A237" s="17">
        <v>5.9</v>
      </c>
      <c r="B237" s="18" t="s">
        <v>2000</v>
      </c>
      <c r="C237" s="19" t="s">
        <v>2850</v>
      </c>
      <c r="D237" s="20">
        <v>8</v>
      </c>
      <c r="E237" s="229">
        <f>1.2*1*'Cost break dow.'!V312</f>
        <v>4682.63207908125</v>
      </c>
      <c r="F237" s="483">
        <f>D237*E237</f>
        <v>37461.05663265</v>
      </c>
    </row>
    <row r="238" spans="1:6" ht="12.75">
      <c r="A238" s="17"/>
      <c r="B238" s="18"/>
      <c r="C238" s="19"/>
      <c r="D238" s="20"/>
      <c r="E238" s="190"/>
      <c r="F238" s="483"/>
    </row>
    <row r="239" spans="1:6" ht="12.75">
      <c r="A239" s="187">
        <v>5.1</v>
      </c>
      <c r="B239" s="18" t="s">
        <v>2001</v>
      </c>
      <c r="C239" s="19" t="s">
        <v>2850</v>
      </c>
      <c r="D239" s="20">
        <v>6</v>
      </c>
      <c r="E239" s="229">
        <f>1.1*2.2*'Cost break dow.'!V312</f>
        <v>9443.308026147188</v>
      </c>
      <c r="F239" s="483">
        <f>D239*E239</f>
        <v>56659.84815688313</v>
      </c>
    </row>
    <row r="240" spans="1:6" ht="12.75">
      <c r="A240" s="17"/>
      <c r="B240" s="18"/>
      <c r="C240" s="19"/>
      <c r="D240" s="20"/>
      <c r="E240" s="190"/>
      <c r="F240" s="483"/>
    </row>
    <row r="241" spans="1:6" ht="12.75">
      <c r="A241" s="187">
        <v>5.11</v>
      </c>
      <c r="B241" s="18" t="s">
        <v>2002</v>
      </c>
      <c r="C241" s="19" t="s">
        <v>2850</v>
      </c>
      <c r="D241" s="20">
        <v>24</v>
      </c>
      <c r="E241" s="229">
        <f>1*2.2*'Cost break dow.'!V312</f>
        <v>8584.825478315624</v>
      </c>
      <c r="F241" s="483">
        <f>D241*E241</f>
        <v>206035.811479575</v>
      </c>
    </row>
    <row r="242" spans="1:6" ht="12.75">
      <c r="A242" s="187"/>
      <c r="B242" s="18"/>
      <c r="C242" s="19"/>
      <c r="D242" s="20"/>
      <c r="E242" s="190"/>
      <c r="F242" s="483"/>
    </row>
    <row r="243" spans="1:6" ht="12.75">
      <c r="A243" s="187">
        <v>5.12</v>
      </c>
      <c r="B243" s="18" t="s">
        <v>2003</v>
      </c>
      <c r="C243" s="19" t="s">
        <v>2850</v>
      </c>
      <c r="D243" s="20">
        <v>6</v>
      </c>
      <c r="E243" s="190">
        <f>5.7*2.2*'Cost break dow.'!V312</f>
        <v>48933.505226399066</v>
      </c>
      <c r="F243" s="483">
        <f>D243*E243</f>
        <v>293601.0313583944</v>
      </c>
    </row>
    <row r="244" spans="1:6" ht="12.75">
      <c r="A244" s="187"/>
      <c r="B244" s="18"/>
      <c r="C244" s="19"/>
      <c r="D244" s="20"/>
      <c r="E244" s="190"/>
      <c r="F244" s="483"/>
    </row>
    <row r="245" spans="1:6" ht="12.75">
      <c r="A245" s="187">
        <v>5.13</v>
      </c>
      <c r="B245" s="18" t="s">
        <v>2004</v>
      </c>
      <c r="C245" s="19" t="s">
        <v>2850</v>
      </c>
      <c r="D245" s="20">
        <v>42</v>
      </c>
      <c r="E245" s="190">
        <f>0.7*2.2*'Cost break dow.'!V312</f>
        <v>6009.377834820937</v>
      </c>
      <c r="F245" s="483">
        <f>D245*E245</f>
        <v>252393.86906247935</v>
      </c>
    </row>
    <row r="246" spans="1:6" ht="12.75">
      <c r="A246" s="187"/>
      <c r="B246" s="18"/>
      <c r="C246" s="19"/>
      <c r="D246" s="20"/>
      <c r="E246" s="190"/>
      <c r="F246" s="483"/>
    </row>
    <row r="247" spans="1:6" ht="12.75">
      <c r="A247" s="187">
        <v>5.14</v>
      </c>
      <c r="B247" s="18" t="s">
        <v>2005</v>
      </c>
      <c r="C247" s="19" t="s">
        <v>2850</v>
      </c>
      <c r="D247" s="20">
        <v>6</v>
      </c>
      <c r="E247" s="190">
        <f>5.06*'Cost break dow.'!V312</f>
        <v>19745.098600125933</v>
      </c>
      <c r="F247" s="483">
        <f>D247*E247</f>
        <v>118470.59160075561</v>
      </c>
    </row>
    <row r="248" spans="2:6" ht="12.75">
      <c r="B248" s="18"/>
      <c r="C248" s="19"/>
      <c r="D248" s="20"/>
      <c r="E248" s="190"/>
      <c r="F248" s="483"/>
    </row>
    <row r="249" spans="1:6" ht="12.75">
      <c r="A249" s="187">
        <v>5.15</v>
      </c>
      <c r="B249" s="18" t="s">
        <v>2006</v>
      </c>
      <c r="C249" s="19" t="s">
        <v>2850</v>
      </c>
      <c r="D249" s="20">
        <v>6</v>
      </c>
      <c r="E249" s="190">
        <f>1.2*2.2*'Cost break dow.'!V312</f>
        <v>10301.79057397875</v>
      </c>
      <c r="F249" s="483">
        <f>D249*E249</f>
        <v>61810.743443872496</v>
      </c>
    </row>
    <row r="250" spans="2:6" ht="12.75">
      <c r="B250" s="18"/>
      <c r="C250" s="19"/>
      <c r="D250" s="20"/>
      <c r="F250" s="229"/>
    </row>
    <row r="251" spans="1:6" ht="12.75">
      <c r="A251" s="187">
        <v>5.16</v>
      </c>
      <c r="B251" s="18" t="s">
        <v>2007</v>
      </c>
      <c r="C251" s="19" t="s">
        <v>2850</v>
      </c>
      <c r="D251" s="20">
        <v>5</v>
      </c>
      <c r="E251" s="190">
        <f>2.15*1*'Cost break dow.'!V312</f>
        <v>8389.715808353905</v>
      </c>
      <c r="F251" s="483">
        <f>D251*E251</f>
        <v>41948.579041769524</v>
      </c>
    </row>
    <row r="252" spans="1:6" ht="9" customHeight="1">
      <c r="A252" s="17"/>
      <c r="B252" s="18"/>
      <c r="C252" s="19"/>
      <c r="D252" s="20"/>
      <c r="F252" s="483"/>
    </row>
    <row r="253" spans="2:6" ht="9.75" customHeight="1">
      <c r="B253" s="18"/>
      <c r="C253" s="19"/>
      <c r="D253" s="20"/>
      <c r="F253" s="483"/>
    </row>
    <row r="254" spans="1:6" ht="57" customHeight="1">
      <c r="A254" s="187">
        <v>5.17</v>
      </c>
      <c r="B254" s="29" t="s">
        <v>241</v>
      </c>
      <c r="C254" s="19" t="s">
        <v>92</v>
      </c>
      <c r="D254" s="20">
        <v>192</v>
      </c>
      <c r="E254" s="229">
        <f>1200</f>
        <v>1200</v>
      </c>
      <c r="F254" s="483">
        <f>D254*E254</f>
        <v>230400</v>
      </c>
    </row>
    <row r="255" spans="2:6" ht="12.75">
      <c r="B255" s="29"/>
      <c r="C255" s="19"/>
      <c r="D255" s="20"/>
      <c r="E255" s="229"/>
      <c r="F255" s="483"/>
    </row>
    <row r="256" spans="1:6" ht="12.75">
      <c r="A256" s="187">
        <v>5.18</v>
      </c>
      <c r="B256" s="29" t="s">
        <v>2980</v>
      </c>
      <c r="C256" s="19" t="s">
        <v>92</v>
      </c>
      <c r="D256" s="20">
        <v>175</v>
      </c>
      <c r="E256" s="229">
        <f>450</f>
        <v>450</v>
      </c>
      <c r="F256" s="483">
        <f>D256*E256</f>
        <v>78750</v>
      </c>
    </row>
    <row r="257" spans="2:6" ht="12.75">
      <c r="B257" s="29"/>
      <c r="C257" s="19"/>
      <c r="D257" s="20"/>
      <c r="E257" s="229"/>
      <c r="F257" s="473"/>
    </row>
    <row r="258" spans="1:6" ht="12.75">
      <c r="A258" s="187">
        <v>5.18</v>
      </c>
      <c r="B258" s="29" t="s">
        <v>2980</v>
      </c>
      <c r="C258" s="19" t="s">
        <v>92</v>
      </c>
      <c r="D258" s="20">
        <v>108</v>
      </c>
      <c r="E258" s="229">
        <f>450</f>
        <v>450</v>
      </c>
      <c r="F258" s="471">
        <f>D258*E258</f>
        <v>48600</v>
      </c>
    </row>
    <row r="259" spans="2:6" ht="12.75">
      <c r="B259" s="29"/>
      <c r="C259" s="19"/>
      <c r="D259" s="20"/>
      <c r="E259" s="229"/>
      <c r="F259" s="471"/>
    </row>
    <row r="260" spans="1:6" ht="12.75">
      <c r="A260" s="187">
        <v>5.19</v>
      </c>
      <c r="B260" s="29" t="s">
        <v>242</v>
      </c>
      <c r="C260" s="19" t="s">
        <v>92</v>
      </c>
      <c r="D260" s="20">
        <v>192</v>
      </c>
      <c r="E260" s="229">
        <f>1200</f>
        <v>1200</v>
      </c>
      <c r="F260" s="471">
        <f>D260*E260</f>
        <v>230400</v>
      </c>
    </row>
    <row r="261" spans="2:6" ht="12.75">
      <c r="B261" s="29"/>
      <c r="C261" s="19"/>
      <c r="D261" s="20"/>
      <c r="F261" s="471"/>
    </row>
    <row r="262" spans="2:6" ht="18.75" customHeight="1">
      <c r="B262" s="51" t="s">
        <v>1573</v>
      </c>
      <c r="C262" s="19"/>
      <c r="D262" s="20"/>
      <c r="F262" s="475">
        <f>F260+F258+F256+F254+F251+F249+F247+F245+F243+F241+F239+F237+F235+F231+F229+F227+F225+F223+F217</f>
        <v>2733693.7406317024</v>
      </c>
    </row>
    <row r="263" spans="2:6" ht="11.25" customHeight="1">
      <c r="B263" s="18"/>
      <c r="C263" s="19"/>
      <c r="D263" s="20"/>
      <c r="F263" s="475"/>
    </row>
    <row r="264" spans="2:6" s="58" customFormat="1" ht="15" customHeight="1">
      <c r="B264" s="59"/>
      <c r="C264" s="45"/>
      <c r="D264" s="20"/>
      <c r="E264" s="228"/>
      <c r="F264" s="484"/>
    </row>
    <row r="265" spans="1:6" s="60" customFormat="1" ht="16.5" customHeight="1">
      <c r="A265" s="85">
        <v>6</v>
      </c>
      <c r="B265" s="13" t="s">
        <v>3163</v>
      </c>
      <c r="C265" s="19"/>
      <c r="D265" s="20"/>
      <c r="E265" s="190"/>
      <c r="F265" s="485"/>
    </row>
    <row r="266" spans="2:6" s="60" customFormat="1" ht="12.75">
      <c r="B266" s="18"/>
      <c r="C266" s="19"/>
      <c r="D266" s="20"/>
      <c r="E266" s="190"/>
      <c r="F266" s="483"/>
    </row>
    <row r="267" spans="1:6" s="60" customFormat="1" ht="30" customHeight="1">
      <c r="A267" s="17">
        <v>6.1</v>
      </c>
      <c r="B267" s="18" t="s">
        <v>243</v>
      </c>
      <c r="C267" s="19" t="s">
        <v>1565</v>
      </c>
      <c r="D267" s="20">
        <v>3851.59</v>
      </c>
      <c r="E267" s="229">
        <f>'Cost break dow.'!V336</f>
        <v>159.96728093410925</v>
      </c>
      <c r="F267" s="483">
        <f>D267*E267</f>
        <v>616128.3795730058</v>
      </c>
    </row>
    <row r="268" spans="1:6" ht="12.75">
      <c r="A268" s="17"/>
      <c r="F268" s="486"/>
    </row>
    <row r="269" spans="1:6" s="60" customFormat="1" ht="14.25">
      <c r="A269" s="17">
        <v>6.2</v>
      </c>
      <c r="B269" s="18" t="s">
        <v>245</v>
      </c>
      <c r="C269" s="19" t="s">
        <v>1565</v>
      </c>
      <c r="D269" s="26">
        <v>400</v>
      </c>
      <c r="E269" s="190">
        <f>'Cost break dow.'!V342</f>
        <v>192.42986749622588</v>
      </c>
      <c r="F269" s="483">
        <f>D269*E269</f>
        <v>76971.94699849036</v>
      </c>
    </row>
    <row r="270" spans="1:6" s="60" customFormat="1" ht="12.75">
      <c r="A270" s="17"/>
      <c r="B270" s="18"/>
      <c r="C270" s="19"/>
      <c r="D270" s="20"/>
      <c r="E270" s="190"/>
      <c r="F270" s="483"/>
    </row>
    <row r="271" spans="1:6" s="60" customFormat="1" ht="14.25">
      <c r="A271" s="17">
        <v>6.3</v>
      </c>
      <c r="B271" s="18" t="s">
        <v>246</v>
      </c>
      <c r="C271" s="19" t="s">
        <v>1565</v>
      </c>
      <c r="D271" s="20">
        <v>115</v>
      </c>
      <c r="E271" s="190">
        <f>E269</f>
        <v>192.42986749622588</v>
      </c>
      <c r="F271" s="483">
        <f>D271*E271</f>
        <v>22129.434762065976</v>
      </c>
    </row>
    <row r="272" spans="2:6" s="60" customFormat="1" ht="9.75" customHeight="1">
      <c r="B272" s="18"/>
      <c r="C272" s="19"/>
      <c r="D272" s="20"/>
      <c r="E272" s="190"/>
      <c r="F272" s="483"/>
    </row>
    <row r="273" spans="1:6" s="60" customFormat="1" ht="14.25">
      <c r="A273" s="17">
        <v>6.4</v>
      </c>
      <c r="B273" s="18" t="s">
        <v>247</v>
      </c>
      <c r="C273" s="19" t="s">
        <v>1565</v>
      </c>
      <c r="D273" s="20">
        <v>200</v>
      </c>
      <c r="E273" s="190">
        <f>E271</f>
        <v>192.42986749622588</v>
      </c>
      <c r="F273" s="483">
        <f>D273*E273</f>
        <v>38485.97349924518</v>
      </c>
    </row>
    <row r="274" spans="2:6" s="60" customFormat="1" ht="12.75">
      <c r="B274" s="18"/>
      <c r="C274" s="19"/>
      <c r="D274" s="20"/>
      <c r="E274" s="190"/>
      <c r="F274" s="483"/>
    </row>
    <row r="275" spans="1:6" s="60" customFormat="1" ht="28.5" customHeight="1">
      <c r="A275" s="17">
        <v>6.5</v>
      </c>
      <c r="B275" s="18" t="s">
        <v>1443</v>
      </c>
      <c r="C275" s="19" t="s">
        <v>1565</v>
      </c>
      <c r="D275" s="20">
        <v>2179.84</v>
      </c>
      <c r="E275" s="229">
        <f>'Cost break dow.'!V347</f>
        <v>135.07482520401282</v>
      </c>
      <c r="F275" s="483">
        <f>D275*E275</f>
        <v>294441.5069727153</v>
      </c>
    </row>
    <row r="276" spans="2:6" s="60" customFormat="1" ht="12.75">
      <c r="B276" s="18"/>
      <c r="C276" s="19"/>
      <c r="D276" s="20"/>
      <c r="E276" s="190"/>
      <c r="F276" s="483"/>
    </row>
    <row r="277" spans="1:6" s="60" customFormat="1" ht="25.5">
      <c r="A277" s="17">
        <v>6.6</v>
      </c>
      <c r="B277" s="18" t="s">
        <v>115</v>
      </c>
      <c r="C277" s="19" t="s">
        <v>1565</v>
      </c>
      <c r="D277" s="20">
        <v>1374.43</v>
      </c>
      <c r="E277" s="229">
        <f>E275</f>
        <v>135.07482520401282</v>
      </c>
      <c r="F277" s="483">
        <f>D277*E277</f>
        <v>185650.89200515134</v>
      </c>
    </row>
    <row r="278" spans="2:6" s="60" customFormat="1" ht="12.75">
      <c r="B278" s="18"/>
      <c r="C278" s="19"/>
      <c r="D278" s="20"/>
      <c r="E278" s="190"/>
      <c r="F278" s="483"/>
    </row>
    <row r="279" spans="1:6" s="60" customFormat="1" ht="25.5">
      <c r="A279" s="17">
        <v>6.7</v>
      </c>
      <c r="B279" s="18" t="s">
        <v>248</v>
      </c>
      <c r="C279" s="19" t="s">
        <v>1565</v>
      </c>
      <c r="D279" s="20">
        <v>436.92</v>
      </c>
      <c r="E279" s="229">
        <f>E277</f>
        <v>135.07482520401282</v>
      </c>
      <c r="F279" s="483">
        <f>D279*E279</f>
        <v>59016.892628137284</v>
      </c>
    </row>
    <row r="280" spans="1:6" s="60" customFormat="1" ht="9" customHeight="1">
      <c r="A280" s="17"/>
      <c r="B280" s="18"/>
      <c r="C280" s="19"/>
      <c r="D280" s="20"/>
      <c r="E280" s="190"/>
      <c r="F280" s="483"/>
    </row>
    <row r="281" spans="1:6" s="60" customFormat="1" ht="42.75" customHeight="1">
      <c r="A281" s="17">
        <v>6.8</v>
      </c>
      <c r="B281" s="18" t="s">
        <v>1047</v>
      </c>
      <c r="C281" s="19" t="s">
        <v>1565</v>
      </c>
      <c r="D281" s="20">
        <v>436.92</v>
      </c>
      <c r="E281" s="229">
        <f>'Cost break dow.'!V424</f>
        <v>332.95711980088737</v>
      </c>
      <c r="F281" s="483">
        <f>D281*E281</f>
        <v>145475.6247834037</v>
      </c>
    </row>
    <row r="282" spans="1:6" s="60" customFormat="1" ht="12.75" customHeight="1">
      <c r="A282" s="17"/>
      <c r="B282" s="18"/>
      <c r="C282" s="19"/>
      <c r="D282" s="20"/>
      <c r="E282" s="190"/>
      <c r="F282" s="483"/>
    </row>
    <row r="283" spans="1:6" s="60" customFormat="1" ht="30.75" customHeight="1">
      <c r="A283" s="17">
        <v>6.9</v>
      </c>
      <c r="B283" s="18" t="s">
        <v>159</v>
      </c>
      <c r="C283" s="19" t="s">
        <v>1565</v>
      </c>
      <c r="D283" s="20">
        <v>1374.43</v>
      </c>
      <c r="E283" s="229">
        <f>'Cost break dow.'!V501</f>
        <v>77.11194625194184</v>
      </c>
      <c r="F283" s="483">
        <f>D283*E283</f>
        <v>105984.97228705643</v>
      </c>
    </row>
    <row r="284" spans="1:6" s="60" customFormat="1" ht="15" customHeight="1">
      <c r="A284" s="17"/>
      <c r="B284" s="18"/>
      <c r="C284" s="19"/>
      <c r="D284" s="20"/>
      <c r="E284" s="190"/>
      <c r="F284" s="485"/>
    </row>
    <row r="285" spans="1:6" s="60" customFormat="1" ht="55.5" customHeight="1">
      <c r="A285" s="187">
        <v>6.1</v>
      </c>
      <c r="B285" s="54" t="s">
        <v>1048</v>
      </c>
      <c r="C285" s="19" t="s">
        <v>1565</v>
      </c>
      <c r="D285" s="20">
        <v>2179.84</v>
      </c>
      <c r="E285" s="229">
        <f>'Cost break dow.'!V430</f>
        <v>623.2458494508992</v>
      </c>
      <c r="F285" s="483">
        <f>D285*E285</f>
        <v>1358576.232467048</v>
      </c>
    </row>
    <row r="286" spans="1:6" s="60" customFormat="1" ht="13.5" customHeight="1">
      <c r="A286" s="17"/>
      <c r="B286" s="54"/>
      <c r="C286" s="19"/>
      <c r="D286" s="20"/>
      <c r="E286" s="190"/>
      <c r="F286" s="229"/>
    </row>
    <row r="287" spans="1:6" s="60" customFormat="1" ht="41.25" customHeight="1">
      <c r="A287" s="187">
        <v>6.11</v>
      </c>
      <c r="B287" s="54" t="s">
        <v>135</v>
      </c>
      <c r="C287" s="19" t="s">
        <v>1565</v>
      </c>
      <c r="D287" s="20">
        <v>94.08</v>
      </c>
      <c r="E287" s="229">
        <f>'Cost break dow.'!V385</f>
        <v>289.9523990414007</v>
      </c>
      <c r="F287" s="483">
        <f>D287*E287</f>
        <v>27278.72170181498</v>
      </c>
    </row>
    <row r="288" spans="1:6" s="60" customFormat="1" ht="15" customHeight="1">
      <c r="A288" s="187"/>
      <c r="B288" s="54"/>
      <c r="C288" s="19"/>
      <c r="D288" s="20"/>
      <c r="E288" s="190"/>
      <c r="F288" s="483"/>
    </row>
    <row r="289" spans="1:6" s="60" customFormat="1" ht="16.5" customHeight="1">
      <c r="A289" s="187">
        <v>6.12</v>
      </c>
      <c r="B289" s="54" t="s">
        <v>136</v>
      </c>
      <c r="C289" s="19" t="s">
        <v>1565</v>
      </c>
      <c r="D289" s="20">
        <v>171.25</v>
      </c>
      <c r="E289" s="229">
        <f>'Cost break dow.'!V424</f>
        <v>332.95711980088737</v>
      </c>
      <c r="F289" s="483">
        <f>D289*E289</f>
        <v>57018.906765901964</v>
      </c>
    </row>
    <row r="290" spans="1:6" s="60" customFormat="1" ht="12.75" customHeight="1">
      <c r="A290" s="187"/>
      <c r="B290" s="54"/>
      <c r="C290" s="19"/>
      <c r="D290" s="20"/>
      <c r="E290" s="190"/>
      <c r="F290" s="483"/>
    </row>
    <row r="291" spans="1:6" s="60" customFormat="1" ht="40.5" customHeight="1">
      <c r="A291" s="187">
        <v>6.13</v>
      </c>
      <c r="B291" s="18" t="s">
        <v>3146</v>
      </c>
      <c r="C291" s="19" t="s">
        <v>1565</v>
      </c>
      <c r="D291" s="20">
        <v>255.93</v>
      </c>
      <c r="E291" s="229">
        <f>'Cost break dow.'!V436</f>
        <v>490.2028561664415</v>
      </c>
      <c r="F291" s="483">
        <f>D291*E291</f>
        <v>125457.61697867738</v>
      </c>
    </row>
    <row r="292" spans="1:6" s="60" customFormat="1" ht="12.75">
      <c r="A292" s="187"/>
      <c r="B292" s="18"/>
      <c r="C292" s="19"/>
      <c r="D292" s="20"/>
      <c r="E292" s="190"/>
      <c r="F292" s="483"/>
    </row>
    <row r="293" spans="1:6" s="60" customFormat="1" ht="68.25" customHeight="1">
      <c r="A293" s="187">
        <v>6.14</v>
      </c>
      <c r="B293" s="18" t="s">
        <v>1051</v>
      </c>
      <c r="C293" s="19" t="s">
        <v>1565</v>
      </c>
      <c r="D293" s="20">
        <v>1050.65</v>
      </c>
      <c r="E293" s="229">
        <f>'Cost break dow.'!V412</f>
        <v>170.91995313920307</v>
      </c>
      <c r="F293" s="483">
        <f>D293*E293</f>
        <v>179577.04876570372</v>
      </c>
    </row>
    <row r="294" spans="1:6" s="60" customFormat="1" ht="12" customHeight="1">
      <c r="A294" s="187"/>
      <c r="B294" s="18"/>
      <c r="C294" s="19"/>
      <c r="D294" s="20"/>
      <c r="E294" s="190"/>
      <c r="F294" s="485"/>
    </row>
    <row r="295" spans="1:6" s="60" customFormat="1" ht="42" customHeight="1">
      <c r="A295" s="187">
        <v>6.15</v>
      </c>
      <c r="B295" s="18" t="s">
        <v>1050</v>
      </c>
      <c r="C295" s="19" t="s">
        <v>1565</v>
      </c>
      <c r="D295" s="20">
        <v>106.7</v>
      </c>
      <c r="E295" s="229">
        <f>'Cost break dow.'!V407</f>
        <v>164.82284139406477</v>
      </c>
      <c r="F295" s="483">
        <f>D295*E295</f>
        <v>17586.597176746713</v>
      </c>
    </row>
    <row r="296" spans="1:6" s="60" customFormat="1" ht="10.5" customHeight="1">
      <c r="A296" s="187"/>
      <c r="B296" s="18"/>
      <c r="C296" s="19"/>
      <c r="D296" s="20"/>
      <c r="E296" s="190"/>
      <c r="F296" s="483"/>
    </row>
    <row r="297" spans="1:6" s="60" customFormat="1" ht="51">
      <c r="A297" s="187">
        <v>6.16</v>
      </c>
      <c r="B297" s="18" t="s">
        <v>1052</v>
      </c>
      <c r="C297" s="19" t="s">
        <v>1565</v>
      </c>
      <c r="D297" s="20">
        <v>86.74</v>
      </c>
      <c r="E297" s="229">
        <f>'Cost break dow.'!V390</f>
        <v>1192.769526935376</v>
      </c>
      <c r="F297" s="483">
        <f>D297*E297</f>
        <v>103460.82876637451</v>
      </c>
    </row>
    <row r="298" spans="1:6" s="60" customFormat="1" ht="12.75">
      <c r="A298" s="187"/>
      <c r="B298" s="18"/>
      <c r="C298" s="19"/>
      <c r="D298" s="20"/>
      <c r="E298" s="190"/>
      <c r="F298" s="229"/>
    </row>
    <row r="299" spans="1:6" s="60" customFormat="1" ht="26.25" customHeight="1">
      <c r="A299" s="187">
        <v>6.17</v>
      </c>
      <c r="B299" s="57" t="s">
        <v>1053</v>
      </c>
      <c r="C299" s="19" t="s">
        <v>92</v>
      </c>
      <c r="D299" s="20">
        <v>121</v>
      </c>
      <c r="E299" s="229">
        <f>0.29*'Cost break dow.'!V395</f>
        <v>414.20229453098506</v>
      </c>
      <c r="F299" s="483">
        <f>D299*E299</f>
        <v>50118.47763824919</v>
      </c>
    </row>
    <row r="300" spans="1:6" s="60" customFormat="1" ht="16.5" customHeight="1">
      <c r="A300" s="187"/>
      <c r="B300" s="56"/>
      <c r="C300" s="19"/>
      <c r="D300" s="20"/>
      <c r="E300" s="190"/>
      <c r="F300" s="483"/>
    </row>
    <row r="301" spans="1:6" s="60" customFormat="1" ht="15" customHeight="1">
      <c r="A301" s="187">
        <v>6.18</v>
      </c>
      <c r="B301" s="57" t="s">
        <v>1054</v>
      </c>
      <c r="C301" s="19" t="s">
        <v>92</v>
      </c>
      <c r="D301" s="20">
        <v>121</v>
      </c>
      <c r="E301" s="229">
        <f>0.17*'Cost break dow.'!V390</f>
        <v>202.77081957901393</v>
      </c>
      <c r="F301" s="483">
        <f>D301*E301</f>
        <v>24535.269169060684</v>
      </c>
    </row>
    <row r="302" spans="1:6" s="60" customFormat="1" ht="12.75" customHeight="1">
      <c r="A302" s="187"/>
      <c r="B302" s="18"/>
      <c r="C302" s="19"/>
      <c r="D302" s="20"/>
      <c r="E302" s="190"/>
      <c r="F302" s="483"/>
    </row>
    <row r="303" spans="1:6" s="60" customFormat="1" ht="27" customHeight="1">
      <c r="A303" s="187">
        <v>6.19</v>
      </c>
      <c r="B303" s="18" t="s">
        <v>3147</v>
      </c>
      <c r="C303" s="19" t="s">
        <v>92</v>
      </c>
      <c r="D303" s="20">
        <v>241.38</v>
      </c>
      <c r="E303" s="229">
        <f>'Cost break dow.'!V443</f>
        <v>116.52608572194272</v>
      </c>
      <c r="F303" s="483">
        <f>D303*E303</f>
        <v>28127.066571562533</v>
      </c>
    </row>
    <row r="304" spans="2:6" s="60" customFormat="1" ht="12" customHeight="1">
      <c r="B304" s="18"/>
      <c r="C304" s="19"/>
      <c r="D304" s="20"/>
      <c r="E304" s="229"/>
      <c r="F304" s="483"/>
    </row>
    <row r="305" spans="1:6" s="60" customFormat="1" ht="27.75" customHeight="1">
      <c r="A305" s="187">
        <v>6.2</v>
      </c>
      <c r="B305" s="18" t="s">
        <v>2946</v>
      </c>
      <c r="C305" s="19" t="s">
        <v>92</v>
      </c>
      <c r="D305" s="20">
        <v>877.28</v>
      </c>
      <c r="E305" s="229">
        <f>'Cost break dow.'!V449</f>
        <v>33.895064573824904</v>
      </c>
      <c r="F305" s="483">
        <f>D305*E305</f>
        <v>29735.46224932511</v>
      </c>
    </row>
    <row r="306" spans="1:6" ht="12.75">
      <c r="A306" s="187"/>
      <c r="B306" s="29"/>
      <c r="C306" s="19"/>
      <c r="D306" s="20"/>
      <c r="E306" s="178"/>
      <c r="F306" s="486"/>
    </row>
    <row r="307" spans="1:6" s="43" customFormat="1" ht="30.75" customHeight="1">
      <c r="A307" s="187">
        <v>6.21</v>
      </c>
      <c r="B307" s="18" t="s">
        <v>3148</v>
      </c>
      <c r="C307" s="19" t="s">
        <v>92</v>
      </c>
      <c r="D307" s="26">
        <v>131.4</v>
      </c>
      <c r="E307" s="229">
        <f>'Cost break dow.'!V456</f>
        <v>206.5998502891973</v>
      </c>
      <c r="F307" s="483">
        <f>D307*E307</f>
        <v>27147.220328000527</v>
      </c>
    </row>
    <row r="308" spans="1:6" s="43" customFormat="1" ht="12.75">
      <c r="A308" s="187"/>
      <c r="B308" s="18"/>
      <c r="C308" s="19"/>
      <c r="D308" s="26"/>
      <c r="E308" s="229"/>
      <c r="F308" s="482"/>
    </row>
    <row r="309" spans="1:6" s="43" customFormat="1" ht="28.5" customHeight="1">
      <c r="A309" s="187">
        <v>6.22</v>
      </c>
      <c r="B309" s="18" t="s">
        <v>2947</v>
      </c>
      <c r="C309" s="19" t="s">
        <v>92</v>
      </c>
      <c r="D309" s="26">
        <v>90</v>
      </c>
      <c r="E309" s="229">
        <f>0.3*'Cost break dow.'!V395</f>
        <v>428.48513227343284</v>
      </c>
      <c r="F309" s="471">
        <f>D309*E309</f>
        <v>38563.661904608955</v>
      </c>
    </row>
    <row r="310" spans="2:6" s="43" customFormat="1" ht="12.75">
      <c r="B310" s="18"/>
      <c r="C310" s="19"/>
      <c r="D310" s="26"/>
      <c r="E310" s="229"/>
      <c r="F310" s="471"/>
    </row>
    <row r="311" spans="1:6" s="60" customFormat="1" ht="42" customHeight="1">
      <c r="A311" s="187">
        <v>6.23</v>
      </c>
      <c r="B311" s="84" t="s">
        <v>3021</v>
      </c>
      <c r="C311" s="2" t="s">
        <v>1565</v>
      </c>
      <c r="D311" s="3">
        <v>171.25</v>
      </c>
      <c r="E311" s="229">
        <f>'Cost break dow.'!V288</f>
        <v>1139.7335407864464</v>
      </c>
      <c r="F311" s="471">
        <f>D311*E311</f>
        <v>195179.36885967894</v>
      </c>
    </row>
    <row r="312" spans="1:6" s="60" customFormat="1" ht="14.25" customHeight="1">
      <c r="A312" s="187"/>
      <c r="B312" s="84"/>
      <c r="C312" s="2"/>
      <c r="D312" s="3"/>
      <c r="E312" s="190"/>
      <c r="F312" s="471"/>
    </row>
    <row r="313" spans="1:6" s="60" customFormat="1" ht="12.75">
      <c r="A313" s="187"/>
      <c r="B313" s="51" t="s">
        <v>1066</v>
      </c>
      <c r="C313" s="19"/>
      <c r="D313" s="20"/>
      <c r="E313" s="190"/>
      <c r="F313" s="475">
        <f>F311+F309+F307+F305+F303+F301+F299+F297+F295+F293+F291+F289+F287+F285+F283+F281+F279+F277+F275+F273+F271+F269+F267</f>
        <v>3806648.102852024</v>
      </c>
    </row>
    <row r="314" spans="2:6" s="60" customFormat="1" ht="12.75">
      <c r="B314" s="18"/>
      <c r="C314" s="19"/>
      <c r="D314" s="20"/>
      <c r="E314" s="190"/>
      <c r="F314" s="190"/>
    </row>
    <row r="315" spans="1:6" s="43" customFormat="1" ht="12.75">
      <c r="A315" s="167">
        <v>7</v>
      </c>
      <c r="B315" s="13" t="s">
        <v>1067</v>
      </c>
      <c r="C315" s="19"/>
      <c r="D315" s="20"/>
      <c r="E315" s="179"/>
      <c r="F315" s="179"/>
    </row>
    <row r="316" spans="2:6" s="43" customFormat="1" ht="12.75">
      <c r="B316" s="18"/>
      <c r="C316" s="19"/>
      <c r="D316" s="20"/>
      <c r="E316" s="179"/>
      <c r="F316" s="179"/>
    </row>
    <row r="317" spans="1:6" s="43" customFormat="1" ht="29.25" customHeight="1">
      <c r="A317" s="17">
        <v>7.1</v>
      </c>
      <c r="B317" s="18" t="s">
        <v>2769</v>
      </c>
      <c r="C317" s="19" t="s">
        <v>1565</v>
      </c>
      <c r="D317" s="20">
        <v>279.84</v>
      </c>
      <c r="E317" s="179">
        <f>'Cost break dow.'!V485</f>
        <v>206.49471622555038</v>
      </c>
      <c r="F317" s="471">
        <f>D317*E317</f>
        <v>57785.481388558015</v>
      </c>
    </row>
    <row r="318" spans="1:6" s="43" customFormat="1" ht="12.75">
      <c r="A318" s="17"/>
      <c r="B318" s="18"/>
      <c r="C318" s="19"/>
      <c r="D318" s="20"/>
      <c r="E318" s="179"/>
      <c r="F318" s="471"/>
    </row>
    <row r="319" spans="1:6" s="43" customFormat="1" ht="14.25">
      <c r="A319" s="17">
        <v>7.2</v>
      </c>
      <c r="B319" s="18" t="s">
        <v>2770</v>
      </c>
      <c r="C319" s="19" t="s">
        <v>1565</v>
      </c>
      <c r="D319" s="20">
        <v>414.72</v>
      </c>
      <c r="E319" s="179">
        <f>'Cost break dow.'!V490</f>
        <v>277.7532133431297</v>
      </c>
      <c r="F319" s="471">
        <f>D319*E319</f>
        <v>115189.81263766275</v>
      </c>
    </row>
    <row r="320" spans="1:6" s="43" customFormat="1" ht="12.75">
      <c r="A320" s="17"/>
      <c r="B320" s="18"/>
      <c r="C320" s="19"/>
      <c r="D320" s="20"/>
      <c r="E320" s="179"/>
      <c r="F320" s="471"/>
    </row>
    <row r="321" spans="2:6" s="43" customFormat="1" ht="10.5" customHeight="1">
      <c r="B321" s="18"/>
      <c r="C321" s="19"/>
      <c r="D321" s="20"/>
      <c r="E321" s="179"/>
      <c r="F321" s="471"/>
    </row>
    <row r="322" spans="2:6" s="43" customFormat="1" ht="12.75">
      <c r="B322" s="51" t="s">
        <v>1066</v>
      </c>
      <c r="C322" s="19"/>
      <c r="D322" s="20"/>
      <c r="E322" s="179"/>
      <c r="F322" s="475">
        <f>F317+F319</f>
        <v>172975.29402622077</v>
      </c>
    </row>
    <row r="323" spans="2:6" s="43" customFormat="1" ht="12" customHeight="1">
      <c r="B323" s="18"/>
      <c r="C323" s="19"/>
      <c r="D323" s="20"/>
      <c r="E323" s="179"/>
      <c r="F323" s="179"/>
    </row>
    <row r="324" spans="1:6" s="43" customFormat="1" ht="12.75">
      <c r="A324" s="167">
        <v>8</v>
      </c>
      <c r="B324" s="13" t="s">
        <v>2771</v>
      </c>
      <c r="C324" s="19"/>
      <c r="D324" s="20"/>
      <c r="E324" s="179"/>
      <c r="F324" s="179"/>
    </row>
    <row r="325" spans="1:6" s="43" customFormat="1" ht="10.5" customHeight="1">
      <c r="A325" s="17"/>
      <c r="B325" s="18"/>
      <c r="C325" s="19"/>
      <c r="D325" s="20"/>
      <c r="E325" s="179"/>
      <c r="F325" s="179"/>
    </row>
    <row r="326" spans="1:6" s="60" customFormat="1" ht="30.75" customHeight="1">
      <c r="A326" s="17">
        <v>8.1</v>
      </c>
      <c r="B326" s="18" t="s">
        <v>31</v>
      </c>
      <c r="C326" s="19" t="s">
        <v>1565</v>
      </c>
      <c r="D326" s="20">
        <v>3851.59</v>
      </c>
      <c r="E326" s="229">
        <f>'Cost break dow.'!V495</f>
        <v>49.73559579465977</v>
      </c>
      <c r="F326" s="483">
        <f>D326*E326</f>
        <v>191561.12340675364</v>
      </c>
    </row>
    <row r="327" spans="1:6" s="60" customFormat="1" ht="12.75">
      <c r="A327" s="17"/>
      <c r="B327" s="18"/>
      <c r="C327" s="19"/>
      <c r="D327" s="20"/>
      <c r="E327" s="229"/>
      <c r="F327" s="483"/>
    </row>
    <row r="328" spans="1:6" s="60" customFormat="1" ht="14.25">
      <c r="A328" s="17">
        <v>8.2</v>
      </c>
      <c r="B328" s="18" t="s">
        <v>244</v>
      </c>
      <c r="C328" s="19" t="s">
        <v>1565</v>
      </c>
      <c r="D328" s="20">
        <v>1374.43</v>
      </c>
      <c r="E328" s="229">
        <f>E326</f>
        <v>49.73559579465977</v>
      </c>
      <c r="F328" s="483">
        <f>D328*E328</f>
        <v>68358.09492805424</v>
      </c>
    </row>
    <row r="329" spans="5:6" ht="12.75">
      <c r="E329" s="229"/>
      <c r="F329" s="486"/>
    </row>
    <row r="330" spans="1:6" s="60" customFormat="1" ht="14.25">
      <c r="A330" s="17">
        <v>8.3</v>
      </c>
      <c r="B330" s="18" t="s">
        <v>245</v>
      </c>
      <c r="C330" s="19" t="s">
        <v>1565</v>
      </c>
      <c r="D330" s="20">
        <v>400</v>
      </c>
      <c r="E330" s="229">
        <f>E326</f>
        <v>49.73559579465977</v>
      </c>
      <c r="F330" s="483">
        <f>D330*E330</f>
        <v>19894.23831786391</v>
      </c>
    </row>
    <row r="331" spans="1:6" s="60" customFormat="1" ht="12.75">
      <c r="A331" s="17"/>
      <c r="B331" s="18"/>
      <c r="C331" s="19"/>
      <c r="D331" s="20"/>
      <c r="E331" s="229"/>
      <c r="F331" s="483"/>
    </row>
    <row r="332" spans="1:6" s="60" customFormat="1" ht="14.25">
      <c r="A332" s="17">
        <v>8.4</v>
      </c>
      <c r="B332" s="18" t="s">
        <v>246</v>
      </c>
      <c r="C332" s="19" t="s">
        <v>1565</v>
      </c>
      <c r="D332" s="20">
        <v>115</v>
      </c>
      <c r="E332" s="229">
        <f>E326</f>
        <v>49.73559579465977</v>
      </c>
      <c r="F332" s="483">
        <f>D332*E332</f>
        <v>5719.593516385874</v>
      </c>
    </row>
    <row r="333" spans="2:6" s="60" customFormat="1" ht="12.75">
      <c r="B333" s="18"/>
      <c r="C333" s="19"/>
      <c r="D333" s="20"/>
      <c r="E333" s="229"/>
      <c r="F333" s="483"/>
    </row>
    <row r="334" spans="1:6" s="43" customFormat="1" ht="14.25">
      <c r="A334" s="17">
        <v>8.5</v>
      </c>
      <c r="B334" s="18" t="s">
        <v>247</v>
      </c>
      <c r="C334" s="19" t="s">
        <v>1565</v>
      </c>
      <c r="D334" s="20">
        <v>200</v>
      </c>
      <c r="E334" s="229">
        <f>E326</f>
        <v>49.73559579465977</v>
      </c>
      <c r="F334" s="483">
        <f>D334*E334</f>
        <v>9947.119158931955</v>
      </c>
    </row>
    <row r="335" spans="1:6" s="60" customFormat="1" ht="12.75">
      <c r="A335" s="17"/>
      <c r="B335" s="18"/>
      <c r="C335" s="19"/>
      <c r="D335" s="20"/>
      <c r="E335" s="229"/>
      <c r="F335" s="483"/>
    </row>
    <row r="336" spans="1:6" s="60" customFormat="1" ht="14.25">
      <c r="A336" s="17">
        <v>8.6</v>
      </c>
      <c r="B336" s="84" t="s">
        <v>3022</v>
      </c>
      <c r="C336" s="19" t="s">
        <v>1565</v>
      </c>
      <c r="D336" s="20">
        <v>171.25</v>
      </c>
      <c r="E336" s="229">
        <f>E326</f>
        <v>49.73559579465977</v>
      </c>
      <c r="F336" s="483">
        <f>D336*E336</f>
        <v>8517.220779835487</v>
      </c>
    </row>
    <row r="337" spans="1:6" s="43" customFormat="1" ht="12.75">
      <c r="A337" s="17"/>
      <c r="B337" s="18"/>
      <c r="C337" s="19"/>
      <c r="D337" s="20"/>
      <c r="E337" s="179"/>
      <c r="F337" s="229"/>
    </row>
    <row r="338" spans="1:6" s="43" customFormat="1" ht="12.75">
      <c r="A338" s="17"/>
      <c r="B338" s="51" t="s">
        <v>1066</v>
      </c>
      <c r="C338" s="19"/>
      <c r="D338" s="20"/>
      <c r="E338" s="179"/>
      <c r="F338" s="487">
        <f>F326+F328+F330+F332+F334+F336</f>
        <v>303997.3901078251</v>
      </c>
    </row>
    <row r="339" spans="1:6" s="43" customFormat="1" ht="12.75">
      <c r="A339" s="55"/>
      <c r="B339" s="54"/>
      <c r="C339" s="19"/>
      <c r="D339" s="20"/>
      <c r="E339" s="179"/>
      <c r="F339" s="179"/>
    </row>
    <row r="340" spans="1:6" s="43" customFormat="1" ht="12.75">
      <c r="A340" s="167">
        <v>9</v>
      </c>
      <c r="B340" s="65" t="s">
        <v>32</v>
      </c>
      <c r="C340" s="19"/>
      <c r="D340" s="20"/>
      <c r="E340" s="179"/>
      <c r="F340" s="179"/>
    </row>
    <row r="341" spans="1:6" s="43" customFormat="1" ht="12.75">
      <c r="A341" s="167"/>
      <c r="B341" s="65" t="s">
        <v>33</v>
      </c>
      <c r="C341" s="19"/>
      <c r="D341" s="20"/>
      <c r="E341" s="179"/>
      <c r="F341" s="179"/>
    </row>
    <row r="342" spans="1:6" s="43" customFormat="1" ht="12.75">
      <c r="A342" s="187"/>
      <c r="B342" s="54"/>
      <c r="C342" s="19"/>
      <c r="D342" s="20"/>
      <c r="E342" s="179"/>
      <c r="F342" s="179"/>
    </row>
    <row r="343" spans="1:6" s="43" customFormat="1" ht="12.75">
      <c r="A343" s="17"/>
      <c r="B343" s="65" t="s">
        <v>2327</v>
      </c>
      <c r="C343" s="19"/>
      <c r="D343" s="20"/>
      <c r="E343" s="179"/>
      <c r="F343" s="179"/>
    </row>
    <row r="344" spans="1:6" s="43" customFormat="1" ht="12.75" customHeight="1">
      <c r="A344" s="17"/>
      <c r="B344" s="54"/>
      <c r="C344" s="19"/>
      <c r="D344" s="20"/>
      <c r="E344" s="179"/>
      <c r="F344" s="179"/>
    </row>
    <row r="345" spans="1:6" s="43" customFormat="1" ht="44.25" customHeight="1">
      <c r="A345" s="17" t="s">
        <v>2328</v>
      </c>
      <c r="B345" s="54" t="s">
        <v>664</v>
      </c>
      <c r="C345" s="19"/>
      <c r="D345" s="20"/>
      <c r="E345" s="179"/>
      <c r="F345" s="179"/>
    </row>
    <row r="346" spans="1:6" s="43" customFormat="1" ht="12.75" customHeight="1">
      <c r="A346" s="187"/>
      <c r="B346" s="54"/>
      <c r="C346" s="19"/>
      <c r="D346" s="20"/>
      <c r="E346" s="179"/>
      <c r="F346" s="179"/>
    </row>
    <row r="347" spans="1:6" s="43" customFormat="1" ht="12.75">
      <c r="A347" s="17"/>
      <c r="B347" s="54" t="s">
        <v>2558</v>
      </c>
      <c r="C347" s="19"/>
      <c r="D347" s="20"/>
      <c r="E347" s="179"/>
      <c r="F347" s="179"/>
    </row>
    <row r="348" spans="1:6" s="43" customFormat="1" ht="12" customHeight="1">
      <c r="A348" s="17"/>
      <c r="B348" s="54" t="s">
        <v>2559</v>
      </c>
      <c r="C348" s="19"/>
      <c r="D348" s="20"/>
      <c r="E348" s="179"/>
      <c r="F348" s="179"/>
    </row>
    <row r="349" spans="1:6" s="43" customFormat="1" ht="12.75">
      <c r="A349" s="17"/>
      <c r="B349" s="54" t="s">
        <v>2560</v>
      </c>
      <c r="C349" s="19"/>
      <c r="D349" s="20"/>
      <c r="E349" s="179"/>
      <c r="F349" s="179"/>
    </row>
    <row r="350" spans="1:6" s="43" customFormat="1" ht="14.25" customHeight="1">
      <c r="A350" s="17"/>
      <c r="B350" s="54" t="s">
        <v>2561</v>
      </c>
      <c r="C350" s="19"/>
      <c r="D350" s="20"/>
      <c r="E350" s="179"/>
      <c r="F350" s="179"/>
    </row>
    <row r="351" spans="1:6" s="43" customFormat="1" ht="12.75">
      <c r="A351" s="17"/>
      <c r="B351" s="54" t="s">
        <v>2562</v>
      </c>
      <c r="C351" s="19"/>
      <c r="D351" s="20"/>
      <c r="E351" s="179"/>
      <c r="F351" s="179"/>
    </row>
    <row r="352" spans="1:6" s="43" customFormat="1" ht="12.75" customHeight="1">
      <c r="A352" s="187"/>
      <c r="B352" s="54" t="s">
        <v>2563</v>
      </c>
      <c r="C352" s="19"/>
      <c r="D352" s="20"/>
      <c r="E352" s="179"/>
      <c r="F352" s="179"/>
    </row>
    <row r="353" spans="1:6" s="43" customFormat="1" ht="25.5">
      <c r="A353" s="17"/>
      <c r="B353" s="54" t="s">
        <v>2564</v>
      </c>
      <c r="C353" s="19"/>
      <c r="D353" s="20"/>
      <c r="E353" s="179"/>
      <c r="F353" s="179"/>
    </row>
    <row r="354" spans="1:6" s="43" customFormat="1" ht="12.75" customHeight="1">
      <c r="A354" s="17"/>
      <c r="B354" s="54" t="s">
        <v>2565</v>
      </c>
      <c r="C354" s="19"/>
      <c r="D354" s="20"/>
      <c r="E354" s="179"/>
      <c r="F354" s="179"/>
    </row>
    <row r="355" spans="1:6" s="43" customFormat="1" ht="15.75" customHeight="1">
      <c r="A355" s="17"/>
      <c r="B355" s="54" t="s">
        <v>2534</v>
      </c>
      <c r="C355" s="19"/>
      <c r="D355" s="20"/>
      <c r="E355" s="179"/>
      <c r="F355" s="179"/>
    </row>
    <row r="356" spans="1:6" s="43" customFormat="1" ht="17.25" customHeight="1">
      <c r="A356" s="245"/>
      <c r="B356" s="54" t="s">
        <v>2535</v>
      </c>
      <c r="C356" s="19"/>
      <c r="D356" s="20"/>
      <c r="E356" s="179"/>
      <c r="F356" s="179"/>
    </row>
    <row r="357" spans="1:6" s="43" customFormat="1" ht="12.75">
      <c r="A357" s="17"/>
      <c r="B357" s="54" t="s">
        <v>2112</v>
      </c>
      <c r="C357" s="19"/>
      <c r="D357" s="20"/>
      <c r="E357" s="179"/>
      <c r="F357" s="179"/>
    </row>
    <row r="358" spans="1:6" s="43" customFormat="1" ht="12.75">
      <c r="A358" s="187"/>
      <c r="B358" s="54" t="s">
        <v>2537</v>
      </c>
      <c r="C358" s="19" t="s">
        <v>1561</v>
      </c>
      <c r="D358" s="20">
        <v>1</v>
      </c>
      <c r="E358" s="179">
        <f>'Cost break dow.'!V759</f>
        <v>8628.212509245524</v>
      </c>
      <c r="F358" s="179">
        <f>D358*E358</f>
        <v>8628.212509245524</v>
      </c>
    </row>
    <row r="359" spans="1:6" s="43" customFormat="1" ht="12.75">
      <c r="A359" s="17"/>
      <c r="B359" s="54"/>
      <c r="C359" s="19"/>
      <c r="D359" s="20"/>
      <c r="E359" s="179"/>
      <c r="F359" s="179">
        <f aca="true" t="shared" si="0" ref="F359:F422">D359*E359</f>
        <v>0</v>
      </c>
    </row>
    <row r="360" spans="1:6" s="43" customFormat="1" ht="12.75" customHeight="1">
      <c r="A360" s="17" t="s">
        <v>2329</v>
      </c>
      <c r="B360" s="54" t="s">
        <v>2566</v>
      </c>
      <c r="C360" s="19"/>
      <c r="D360" s="20"/>
      <c r="E360" s="179"/>
      <c r="F360" s="179">
        <f t="shared" si="0"/>
        <v>0</v>
      </c>
    </row>
    <row r="361" spans="1:6" s="43" customFormat="1" ht="12.75">
      <c r="A361" s="17"/>
      <c r="B361" s="54" t="s">
        <v>2567</v>
      </c>
      <c r="C361" s="19"/>
      <c r="D361" s="20"/>
      <c r="E361" s="179"/>
      <c r="F361" s="179">
        <f t="shared" si="0"/>
        <v>0</v>
      </c>
    </row>
    <row r="362" spans="1:6" s="43" customFormat="1" ht="12.75" customHeight="1">
      <c r="A362" s="187"/>
      <c r="B362" s="54" t="s">
        <v>2540</v>
      </c>
      <c r="C362" s="19"/>
      <c r="D362" s="20"/>
      <c r="E362" s="179"/>
      <c r="F362" s="179">
        <f t="shared" si="0"/>
        <v>0</v>
      </c>
    </row>
    <row r="363" spans="1:6" s="43" customFormat="1" ht="12.75">
      <c r="A363" s="17"/>
      <c r="B363" s="54"/>
      <c r="C363" s="19"/>
      <c r="D363" s="20"/>
      <c r="E363" s="179"/>
      <c r="F363" s="179">
        <f t="shared" si="0"/>
        <v>0</v>
      </c>
    </row>
    <row r="364" spans="1:6" s="43" customFormat="1" ht="12.75">
      <c r="A364" s="17"/>
      <c r="B364" s="54" t="s">
        <v>2568</v>
      </c>
      <c r="C364" s="19"/>
      <c r="D364" s="20"/>
      <c r="E364" s="179"/>
      <c r="F364" s="179">
        <f t="shared" si="0"/>
        <v>0</v>
      </c>
    </row>
    <row r="365" spans="1:6" s="43" customFormat="1" ht="12.75">
      <c r="A365" s="17"/>
      <c r="B365" s="54" t="s">
        <v>2569</v>
      </c>
      <c r="C365" s="19"/>
      <c r="D365" s="20"/>
      <c r="E365" s="179"/>
      <c r="F365" s="179">
        <f t="shared" si="0"/>
        <v>0</v>
      </c>
    </row>
    <row r="366" spans="1:6" s="43" customFormat="1" ht="12" customHeight="1">
      <c r="A366" s="17"/>
      <c r="B366" s="54" t="s">
        <v>2570</v>
      </c>
      <c r="C366" s="19"/>
      <c r="D366" s="20"/>
      <c r="E366" s="179"/>
      <c r="F366" s="179">
        <f t="shared" si="0"/>
        <v>0</v>
      </c>
    </row>
    <row r="367" spans="1:6" s="43" customFormat="1" ht="12.75">
      <c r="A367" s="17"/>
      <c r="B367" s="54" t="s">
        <v>2548</v>
      </c>
      <c r="C367" s="19"/>
      <c r="D367" s="20"/>
      <c r="E367" s="179"/>
      <c r="F367" s="179">
        <f t="shared" si="0"/>
        <v>0</v>
      </c>
    </row>
    <row r="368" spans="1:6" s="43" customFormat="1" ht="14.25" customHeight="1">
      <c r="A368" s="17"/>
      <c r="B368" s="54"/>
      <c r="C368" s="19"/>
      <c r="D368" s="20"/>
      <c r="E368" s="179"/>
      <c r="F368" s="179">
        <f t="shared" si="0"/>
        <v>0</v>
      </c>
    </row>
    <row r="369" spans="1:6" s="43" customFormat="1" ht="12.75">
      <c r="A369" s="17"/>
      <c r="B369" s="54" t="s">
        <v>2544</v>
      </c>
      <c r="C369" s="19"/>
      <c r="D369" s="20"/>
      <c r="E369" s="179"/>
      <c r="F369" s="179">
        <f t="shared" si="0"/>
        <v>0</v>
      </c>
    </row>
    <row r="370" spans="1:6" s="43" customFormat="1" ht="12.75" customHeight="1">
      <c r="A370" s="187"/>
      <c r="B370" s="54" t="s">
        <v>2537</v>
      </c>
      <c r="C370" s="19" t="s">
        <v>1561</v>
      </c>
      <c r="D370" s="20">
        <v>1</v>
      </c>
      <c r="E370" s="179">
        <f>'Cost break dow.'!V768</f>
        <v>2358.410351745525</v>
      </c>
      <c r="F370" s="179">
        <f t="shared" si="0"/>
        <v>2358.410351745525</v>
      </c>
    </row>
    <row r="371" spans="1:6" s="43" customFormat="1" ht="12.75">
      <c r="A371" s="17"/>
      <c r="B371" s="54"/>
      <c r="C371" s="19"/>
      <c r="D371" s="20"/>
      <c r="E371" s="179"/>
      <c r="F371" s="179">
        <f t="shared" si="0"/>
        <v>0</v>
      </c>
    </row>
    <row r="372" spans="1:6" s="43" customFormat="1" ht="12.75" customHeight="1">
      <c r="A372" s="17" t="s">
        <v>2330</v>
      </c>
      <c r="B372" s="54" t="s">
        <v>2040</v>
      </c>
      <c r="C372" s="19"/>
      <c r="D372" s="20"/>
      <c r="E372" s="179"/>
      <c r="F372" s="179">
        <f t="shared" si="0"/>
        <v>0</v>
      </c>
    </row>
    <row r="373" spans="1:6" s="43" customFormat="1" ht="9" customHeight="1">
      <c r="A373" s="17"/>
      <c r="B373" s="54"/>
      <c r="C373" s="19"/>
      <c r="D373" s="20"/>
      <c r="E373" s="179"/>
      <c r="F373" s="179">
        <f t="shared" si="0"/>
        <v>0</v>
      </c>
    </row>
    <row r="374" spans="1:6" s="43" customFormat="1" ht="12.75" customHeight="1">
      <c r="A374" s="245"/>
      <c r="B374" s="54" t="s">
        <v>2041</v>
      </c>
      <c r="C374" s="19"/>
      <c r="D374" s="20"/>
      <c r="E374" s="179"/>
      <c r="F374" s="179">
        <f t="shared" si="0"/>
        <v>0</v>
      </c>
    </row>
    <row r="375" spans="1:6" s="43" customFormat="1" ht="12.75">
      <c r="A375" s="17"/>
      <c r="B375" s="54" t="s">
        <v>2569</v>
      </c>
      <c r="C375" s="19"/>
      <c r="D375" s="20"/>
      <c r="E375" s="179"/>
      <c r="F375" s="179">
        <f t="shared" si="0"/>
        <v>0</v>
      </c>
    </row>
    <row r="376" spans="1:6" s="43" customFormat="1" ht="12.75">
      <c r="A376" s="17"/>
      <c r="B376" s="54" t="s">
        <v>2570</v>
      </c>
      <c r="C376" s="19"/>
      <c r="D376" s="20"/>
      <c r="E376" s="179"/>
      <c r="F376" s="179">
        <f t="shared" si="0"/>
        <v>0</v>
      </c>
    </row>
    <row r="377" spans="1:6" s="43" customFormat="1" ht="12.75">
      <c r="A377" s="187"/>
      <c r="B377" s="54" t="s">
        <v>2042</v>
      </c>
      <c r="C377" s="19"/>
      <c r="D377" s="20"/>
      <c r="E377" s="179"/>
      <c r="F377" s="179">
        <f t="shared" si="0"/>
        <v>0</v>
      </c>
    </row>
    <row r="378" spans="1:6" s="43" customFormat="1" ht="12.75">
      <c r="A378" s="17"/>
      <c r="B378" s="54"/>
      <c r="C378" s="19"/>
      <c r="D378" s="20"/>
      <c r="E378" s="179"/>
      <c r="F378" s="179">
        <f t="shared" si="0"/>
        <v>0</v>
      </c>
    </row>
    <row r="379" spans="1:6" s="43" customFormat="1" ht="12.75" customHeight="1">
      <c r="A379" s="17"/>
      <c r="B379" s="54" t="s">
        <v>2544</v>
      </c>
      <c r="C379" s="19"/>
      <c r="D379" s="20"/>
      <c r="E379" s="179"/>
      <c r="F379" s="179">
        <f t="shared" si="0"/>
        <v>0</v>
      </c>
    </row>
    <row r="380" spans="1:6" s="43" customFormat="1" ht="12.75">
      <c r="A380" s="17"/>
      <c r="B380" s="54" t="s">
        <v>2537</v>
      </c>
      <c r="C380" s="19" t="s">
        <v>1561</v>
      </c>
      <c r="D380" s="20">
        <v>1</v>
      </c>
      <c r="E380" s="179">
        <f>'Cost break dow.'!V768</f>
        <v>2358.410351745525</v>
      </c>
      <c r="F380" s="179">
        <f t="shared" si="0"/>
        <v>2358.410351745525</v>
      </c>
    </row>
    <row r="381" spans="1:6" s="43" customFormat="1" ht="12" customHeight="1">
      <c r="A381" s="17"/>
      <c r="B381" s="54"/>
      <c r="C381" s="19"/>
      <c r="D381" s="20"/>
      <c r="E381" s="179"/>
      <c r="F381" s="179">
        <f t="shared" si="0"/>
        <v>0</v>
      </c>
    </row>
    <row r="382" spans="1:6" s="43" customFormat="1" ht="12.75">
      <c r="A382" s="17" t="s">
        <v>2331</v>
      </c>
      <c r="B382" s="54" t="s">
        <v>2795</v>
      </c>
      <c r="C382" s="19"/>
      <c r="D382" s="20"/>
      <c r="E382" s="179"/>
      <c r="F382" s="179">
        <f t="shared" si="0"/>
        <v>0</v>
      </c>
    </row>
    <row r="383" spans="1:6" s="43" customFormat="1" ht="14.25" customHeight="1">
      <c r="A383" s="17"/>
      <c r="B383" s="54"/>
      <c r="C383" s="19"/>
      <c r="D383" s="20"/>
      <c r="E383" s="179"/>
      <c r="F383" s="179">
        <f t="shared" si="0"/>
        <v>0</v>
      </c>
    </row>
    <row r="384" spans="1:6" s="43" customFormat="1" ht="12.75">
      <c r="A384" s="17"/>
      <c r="B384" s="54" t="s">
        <v>2041</v>
      </c>
      <c r="C384" s="19"/>
      <c r="D384" s="20"/>
      <c r="E384" s="179"/>
      <c r="F384" s="179">
        <f t="shared" si="0"/>
        <v>0</v>
      </c>
    </row>
    <row r="385" spans="1:6" s="43" customFormat="1" ht="12.75" customHeight="1">
      <c r="A385" s="187"/>
      <c r="B385" s="54" t="s">
        <v>2569</v>
      </c>
      <c r="C385" s="19"/>
      <c r="D385" s="20"/>
      <c r="E385" s="179"/>
      <c r="F385" s="179">
        <f t="shared" si="0"/>
        <v>0</v>
      </c>
    </row>
    <row r="386" spans="1:6" s="43" customFormat="1" ht="12.75">
      <c r="A386" s="17"/>
      <c r="B386" s="54" t="s">
        <v>2796</v>
      </c>
      <c r="C386" s="19"/>
      <c r="D386" s="20"/>
      <c r="E386" s="179"/>
      <c r="F386" s="179">
        <f t="shared" si="0"/>
        <v>0</v>
      </c>
    </row>
    <row r="387" spans="1:6" s="43" customFormat="1" ht="12.75" customHeight="1">
      <c r="A387" s="17"/>
      <c r="B387" s="54" t="s">
        <v>2042</v>
      </c>
      <c r="C387" s="19"/>
      <c r="D387" s="20"/>
      <c r="E387" s="179"/>
      <c r="F387" s="179">
        <f t="shared" si="0"/>
        <v>0</v>
      </c>
    </row>
    <row r="388" spans="1:6" s="43" customFormat="1" ht="9" customHeight="1">
      <c r="A388" s="17"/>
      <c r="B388" s="54"/>
      <c r="C388" s="19"/>
      <c r="D388" s="20"/>
      <c r="E388" s="179"/>
      <c r="F388" s="179">
        <f t="shared" si="0"/>
        <v>0</v>
      </c>
    </row>
    <row r="389" spans="1:6" s="43" customFormat="1" ht="12.75" customHeight="1">
      <c r="A389" s="245"/>
      <c r="B389" s="54" t="s">
        <v>2544</v>
      </c>
      <c r="C389" s="19"/>
      <c r="D389" s="20"/>
      <c r="E389" s="179"/>
      <c r="F389" s="179">
        <f t="shared" si="0"/>
        <v>0</v>
      </c>
    </row>
    <row r="390" spans="1:6" s="43" customFormat="1" ht="12.75">
      <c r="A390" s="17"/>
      <c r="B390" s="54" t="s">
        <v>2537</v>
      </c>
      <c r="C390" s="19" t="s">
        <v>1561</v>
      </c>
      <c r="D390" s="20">
        <v>1</v>
      </c>
      <c r="E390" s="179">
        <f>'Cost break dow.'!V768</f>
        <v>2358.410351745525</v>
      </c>
      <c r="F390" s="179">
        <f t="shared" si="0"/>
        <v>2358.410351745525</v>
      </c>
    </row>
    <row r="391" spans="1:6" s="43" customFormat="1" ht="12.75">
      <c r="A391" s="17"/>
      <c r="B391" s="54"/>
      <c r="C391" s="19"/>
      <c r="D391" s="20"/>
      <c r="E391" s="179"/>
      <c r="F391" s="179">
        <f t="shared" si="0"/>
        <v>0</v>
      </c>
    </row>
    <row r="392" spans="1:6" s="43" customFormat="1" ht="12.75">
      <c r="A392" s="17" t="s">
        <v>2332</v>
      </c>
      <c r="B392" s="54" t="s">
        <v>2797</v>
      </c>
      <c r="C392" s="19"/>
      <c r="D392" s="20"/>
      <c r="E392" s="179"/>
      <c r="F392" s="179">
        <f t="shared" si="0"/>
        <v>0</v>
      </c>
    </row>
    <row r="393" spans="1:6" s="43" customFormat="1" ht="12.75">
      <c r="A393" s="17"/>
      <c r="B393" s="54"/>
      <c r="C393" s="19"/>
      <c r="D393" s="20"/>
      <c r="E393" s="179"/>
      <c r="F393" s="179">
        <f t="shared" si="0"/>
        <v>0</v>
      </c>
    </row>
    <row r="394" spans="1:6" s="43" customFormat="1" ht="12.75" customHeight="1">
      <c r="A394" s="17"/>
      <c r="B394" s="54" t="s">
        <v>2568</v>
      </c>
      <c r="C394" s="19"/>
      <c r="D394" s="20"/>
      <c r="E394" s="179"/>
      <c r="F394" s="179">
        <f t="shared" si="0"/>
        <v>0</v>
      </c>
    </row>
    <row r="395" spans="1:6" s="43" customFormat="1" ht="12.75">
      <c r="A395" s="17"/>
      <c r="B395" s="54" t="s">
        <v>2569</v>
      </c>
      <c r="C395" s="19"/>
      <c r="D395" s="20"/>
      <c r="E395" s="179"/>
      <c r="F395" s="179">
        <f t="shared" si="0"/>
        <v>0</v>
      </c>
    </row>
    <row r="396" spans="1:6" s="43" customFormat="1" ht="12.75" customHeight="1">
      <c r="A396" s="187"/>
      <c r="B396" s="54" t="s">
        <v>2570</v>
      </c>
      <c r="C396" s="19"/>
      <c r="D396" s="20"/>
      <c r="E396" s="179"/>
      <c r="F396" s="179">
        <f t="shared" si="0"/>
        <v>0</v>
      </c>
    </row>
    <row r="397" spans="1:6" s="43" customFormat="1" ht="12.75">
      <c r="A397" s="17"/>
      <c r="B397" s="54" t="s">
        <v>2548</v>
      </c>
      <c r="C397" s="19"/>
      <c r="D397" s="20"/>
      <c r="E397" s="179"/>
      <c r="F397" s="179">
        <f t="shared" si="0"/>
        <v>0</v>
      </c>
    </row>
    <row r="398" spans="1:6" s="43" customFormat="1" ht="12.75">
      <c r="A398" s="17"/>
      <c r="B398" s="54"/>
      <c r="C398" s="19"/>
      <c r="D398" s="20"/>
      <c r="E398" s="179"/>
      <c r="F398" s="179">
        <f t="shared" si="0"/>
        <v>0</v>
      </c>
    </row>
    <row r="399" spans="1:6" s="43" customFormat="1" ht="12.75">
      <c r="A399" s="17"/>
      <c r="B399" s="54" t="s">
        <v>2544</v>
      </c>
      <c r="C399" s="19"/>
      <c r="D399" s="20"/>
      <c r="E399" s="179"/>
      <c r="F399" s="179">
        <f t="shared" si="0"/>
        <v>0</v>
      </c>
    </row>
    <row r="400" spans="1:6" s="43" customFormat="1" ht="12" customHeight="1">
      <c r="A400" s="17"/>
      <c r="B400" s="54" t="s">
        <v>2537</v>
      </c>
      <c r="C400" s="19" t="s">
        <v>1561</v>
      </c>
      <c r="D400" s="20">
        <v>1</v>
      </c>
      <c r="E400" s="179">
        <f>'Cost break dow.'!V768</f>
        <v>2358.410351745525</v>
      </c>
      <c r="F400" s="179">
        <f t="shared" si="0"/>
        <v>2358.410351745525</v>
      </c>
    </row>
    <row r="401" spans="1:6" s="43" customFormat="1" ht="12.75">
      <c r="A401" s="17"/>
      <c r="B401" s="54"/>
      <c r="C401" s="19"/>
      <c r="D401" s="20"/>
      <c r="E401" s="179"/>
      <c r="F401" s="179">
        <f t="shared" si="0"/>
        <v>0</v>
      </c>
    </row>
    <row r="402" spans="1:6" s="43" customFormat="1" ht="14.25" customHeight="1">
      <c r="A402" s="17" t="s">
        <v>863</v>
      </c>
      <c r="B402" s="54" t="s">
        <v>2798</v>
      </c>
      <c r="C402" s="19"/>
      <c r="D402" s="20"/>
      <c r="E402" s="179"/>
      <c r="F402" s="179">
        <f t="shared" si="0"/>
        <v>0</v>
      </c>
    </row>
    <row r="403" spans="1:6" s="43" customFormat="1" ht="12.75">
      <c r="A403" s="17"/>
      <c r="B403" s="54"/>
      <c r="C403" s="19"/>
      <c r="D403" s="20"/>
      <c r="E403" s="179"/>
      <c r="F403" s="179">
        <f t="shared" si="0"/>
        <v>0</v>
      </c>
    </row>
    <row r="404" spans="1:6" s="43" customFormat="1" ht="12.75" customHeight="1">
      <c r="A404" s="187"/>
      <c r="B404" s="54" t="s">
        <v>2041</v>
      </c>
      <c r="C404" s="19"/>
      <c r="D404" s="20"/>
      <c r="E404" s="179"/>
      <c r="F404" s="179">
        <f t="shared" si="0"/>
        <v>0</v>
      </c>
    </row>
    <row r="405" spans="1:6" s="43" customFormat="1" ht="12.75">
      <c r="A405" s="17"/>
      <c r="B405" s="54" t="s">
        <v>2569</v>
      </c>
      <c r="C405" s="19"/>
      <c r="D405" s="20"/>
      <c r="E405" s="179"/>
      <c r="F405" s="179">
        <f t="shared" si="0"/>
        <v>0</v>
      </c>
    </row>
    <row r="406" spans="1:6" s="43" customFormat="1" ht="12.75">
      <c r="A406" s="17"/>
      <c r="B406" s="54" t="s">
        <v>2570</v>
      </c>
      <c r="C406" s="19"/>
      <c r="D406" s="20"/>
      <c r="E406" s="179"/>
      <c r="F406" s="179">
        <f t="shared" si="0"/>
        <v>0</v>
      </c>
    </row>
    <row r="407" spans="1:6" s="43" customFormat="1" ht="12.75">
      <c r="A407" s="17"/>
      <c r="B407" s="54" t="s">
        <v>2042</v>
      </c>
      <c r="C407" s="19"/>
      <c r="D407" s="20"/>
      <c r="E407" s="179"/>
      <c r="F407" s="179">
        <f t="shared" si="0"/>
        <v>0</v>
      </c>
    </row>
    <row r="408" spans="1:6" s="43" customFormat="1" ht="12.75" customHeight="1">
      <c r="A408" s="245"/>
      <c r="B408" s="54"/>
      <c r="C408" s="19"/>
      <c r="D408" s="20"/>
      <c r="E408" s="179"/>
      <c r="F408" s="179">
        <f t="shared" si="0"/>
        <v>0</v>
      </c>
    </row>
    <row r="409" spans="1:6" s="43" customFormat="1" ht="12.75">
      <c r="A409" s="17"/>
      <c r="B409" s="54" t="s">
        <v>2544</v>
      </c>
      <c r="C409" s="19"/>
      <c r="D409" s="20"/>
      <c r="E409" s="179"/>
      <c r="F409" s="179">
        <f t="shared" si="0"/>
        <v>0</v>
      </c>
    </row>
    <row r="410" spans="1:6" s="43" customFormat="1" ht="12.75">
      <c r="A410" s="17"/>
      <c r="B410" s="54" t="s">
        <v>2537</v>
      </c>
      <c r="C410" s="19" t="s">
        <v>1561</v>
      </c>
      <c r="D410" s="20">
        <v>1</v>
      </c>
      <c r="E410" s="179">
        <f>'Cost break dow.'!V768</f>
        <v>2358.410351745525</v>
      </c>
      <c r="F410" s="179">
        <f t="shared" si="0"/>
        <v>2358.410351745525</v>
      </c>
    </row>
    <row r="411" spans="1:6" s="43" customFormat="1" ht="12.75">
      <c r="A411" s="187"/>
      <c r="B411" s="54"/>
      <c r="C411" s="19"/>
      <c r="D411" s="20"/>
      <c r="E411" s="179"/>
      <c r="F411" s="179">
        <f t="shared" si="0"/>
        <v>0</v>
      </c>
    </row>
    <row r="412" spans="1:6" s="43" customFormat="1" ht="12.75">
      <c r="A412" s="17" t="s">
        <v>864</v>
      </c>
      <c r="B412" s="54" t="s">
        <v>2799</v>
      </c>
      <c r="C412" s="19"/>
      <c r="D412" s="20"/>
      <c r="E412" s="179"/>
      <c r="F412" s="179">
        <f t="shared" si="0"/>
        <v>0</v>
      </c>
    </row>
    <row r="413" spans="1:6" s="43" customFormat="1" ht="12.75" customHeight="1">
      <c r="A413" s="17"/>
      <c r="B413" s="54"/>
      <c r="C413" s="19"/>
      <c r="D413" s="20"/>
      <c r="E413" s="179"/>
      <c r="F413" s="179">
        <f t="shared" si="0"/>
        <v>0</v>
      </c>
    </row>
    <row r="414" spans="1:6" s="43" customFormat="1" ht="12.75">
      <c r="A414" s="17"/>
      <c r="B414" s="54" t="s">
        <v>2041</v>
      </c>
      <c r="C414" s="19"/>
      <c r="D414" s="20"/>
      <c r="E414" s="179"/>
      <c r="F414" s="179">
        <f t="shared" si="0"/>
        <v>0</v>
      </c>
    </row>
    <row r="415" spans="1:6" s="43" customFormat="1" ht="12.75" customHeight="1">
      <c r="A415" s="187"/>
      <c r="B415" s="54" t="s">
        <v>2569</v>
      </c>
      <c r="C415" s="19"/>
      <c r="D415" s="20"/>
      <c r="E415" s="179"/>
      <c r="F415" s="179">
        <f t="shared" si="0"/>
        <v>0</v>
      </c>
    </row>
    <row r="416" spans="1:6" s="43" customFormat="1" ht="12.75">
      <c r="A416" s="17"/>
      <c r="B416" s="54" t="s">
        <v>2796</v>
      </c>
      <c r="C416" s="19"/>
      <c r="D416" s="20"/>
      <c r="E416" s="179"/>
      <c r="F416" s="179">
        <f t="shared" si="0"/>
        <v>0</v>
      </c>
    </row>
    <row r="417" spans="1:6" s="43" customFormat="1" ht="12.75">
      <c r="A417" s="17"/>
      <c r="B417" s="54" t="s">
        <v>2042</v>
      </c>
      <c r="C417" s="19"/>
      <c r="D417" s="20"/>
      <c r="E417" s="179"/>
      <c r="F417" s="179">
        <f t="shared" si="0"/>
        <v>0</v>
      </c>
    </row>
    <row r="418" spans="1:6" s="43" customFormat="1" ht="12.75">
      <c r="A418" s="17"/>
      <c r="B418" s="54"/>
      <c r="C418" s="19"/>
      <c r="D418" s="20"/>
      <c r="E418" s="179"/>
      <c r="F418" s="179">
        <f t="shared" si="0"/>
        <v>0</v>
      </c>
    </row>
    <row r="419" spans="1:6" s="43" customFormat="1" ht="12" customHeight="1">
      <c r="A419" s="17"/>
      <c r="B419" s="54" t="s">
        <v>2544</v>
      </c>
      <c r="C419" s="19"/>
      <c r="D419" s="20"/>
      <c r="E419" s="179"/>
      <c r="F419" s="179">
        <f t="shared" si="0"/>
        <v>0</v>
      </c>
    </row>
    <row r="420" spans="1:6" s="43" customFormat="1" ht="12.75">
      <c r="A420" s="17"/>
      <c r="B420" s="54" t="s">
        <v>2537</v>
      </c>
      <c r="C420" s="19" t="s">
        <v>1561</v>
      </c>
      <c r="D420" s="20">
        <v>1</v>
      </c>
      <c r="E420" s="179">
        <f>E410</f>
        <v>2358.410351745525</v>
      </c>
      <c r="F420" s="179">
        <f t="shared" si="0"/>
        <v>2358.410351745525</v>
      </c>
    </row>
    <row r="421" spans="1:6" s="43" customFormat="1" ht="14.25" customHeight="1">
      <c r="A421" s="17"/>
      <c r="B421" s="54"/>
      <c r="C421" s="19"/>
      <c r="D421" s="20"/>
      <c r="E421" s="179"/>
      <c r="F421" s="179">
        <f t="shared" si="0"/>
        <v>0</v>
      </c>
    </row>
    <row r="422" spans="1:6" s="43" customFormat="1" ht="12.75">
      <c r="A422" s="17" t="s">
        <v>865</v>
      </c>
      <c r="B422" s="54" t="s">
        <v>2800</v>
      </c>
      <c r="C422" s="19"/>
      <c r="D422" s="20"/>
      <c r="E422" s="179"/>
      <c r="F422" s="179">
        <f t="shared" si="0"/>
        <v>0</v>
      </c>
    </row>
    <row r="423" spans="1:6" s="43" customFormat="1" ht="12.75">
      <c r="A423" s="187"/>
      <c r="B423" s="54"/>
      <c r="C423" s="19"/>
      <c r="D423" s="20"/>
      <c r="E423" s="179"/>
      <c r="F423" s="179">
        <f aca="true" t="shared" si="1" ref="F423:F486">D423*E423</f>
        <v>0</v>
      </c>
    </row>
    <row r="424" spans="1:6" s="43" customFormat="1" ht="12.75">
      <c r="A424" s="17"/>
      <c r="B424" s="54" t="s">
        <v>2568</v>
      </c>
      <c r="C424" s="19"/>
      <c r="D424" s="20"/>
      <c r="E424" s="179"/>
      <c r="F424" s="179">
        <f t="shared" si="1"/>
        <v>0</v>
      </c>
    </row>
    <row r="425" spans="1:6" s="43" customFormat="1" ht="12.75" customHeight="1">
      <c r="A425" s="17"/>
      <c r="B425" s="54" t="s">
        <v>2569</v>
      </c>
      <c r="C425" s="19"/>
      <c r="D425" s="20"/>
      <c r="E425" s="179"/>
      <c r="F425" s="179">
        <f t="shared" si="1"/>
        <v>0</v>
      </c>
    </row>
    <row r="426" spans="1:6" s="43" customFormat="1" ht="12.75">
      <c r="A426" s="17"/>
      <c r="B426" s="54" t="s">
        <v>2570</v>
      </c>
      <c r="C426" s="19"/>
      <c r="D426" s="20"/>
      <c r="E426" s="179"/>
      <c r="F426" s="179">
        <f t="shared" si="1"/>
        <v>0</v>
      </c>
    </row>
    <row r="427" spans="1:6" s="43" customFormat="1" ht="12.75" customHeight="1">
      <c r="A427" s="187"/>
      <c r="B427" s="54" t="s">
        <v>2548</v>
      </c>
      <c r="C427" s="19"/>
      <c r="D427" s="20"/>
      <c r="E427" s="179"/>
      <c r="F427" s="179">
        <f t="shared" si="1"/>
        <v>0</v>
      </c>
    </row>
    <row r="428" spans="1:6" s="43" customFormat="1" ht="12.75">
      <c r="A428" s="17"/>
      <c r="B428" s="54"/>
      <c r="C428" s="19"/>
      <c r="D428" s="20"/>
      <c r="E428" s="179"/>
      <c r="F428" s="179">
        <f t="shared" si="1"/>
        <v>0</v>
      </c>
    </row>
    <row r="429" spans="1:6" s="43" customFormat="1" ht="12.75">
      <c r="A429" s="17"/>
      <c r="B429" s="54" t="s">
        <v>2544</v>
      </c>
      <c r="C429" s="19"/>
      <c r="D429" s="20"/>
      <c r="E429" s="179"/>
      <c r="F429" s="179">
        <f t="shared" si="1"/>
        <v>0</v>
      </c>
    </row>
    <row r="430" spans="1:6" s="43" customFormat="1" ht="12.75">
      <c r="A430" s="17"/>
      <c r="B430" s="54" t="s">
        <v>2537</v>
      </c>
      <c r="C430" s="19" t="s">
        <v>1561</v>
      </c>
      <c r="D430" s="20">
        <v>1</v>
      </c>
      <c r="E430" s="179">
        <f>E420</f>
        <v>2358.410351745525</v>
      </c>
      <c r="F430" s="179">
        <f t="shared" si="1"/>
        <v>2358.410351745525</v>
      </c>
    </row>
    <row r="431" spans="1:6" s="43" customFormat="1" ht="12" customHeight="1">
      <c r="A431" s="17"/>
      <c r="B431" s="54"/>
      <c r="C431" s="19"/>
      <c r="D431" s="20"/>
      <c r="E431" s="179"/>
      <c r="F431" s="179">
        <f t="shared" si="1"/>
        <v>0</v>
      </c>
    </row>
    <row r="432" spans="1:6" s="43" customFormat="1" ht="12.75">
      <c r="A432" s="17" t="s">
        <v>866</v>
      </c>
      <c r="B432" s="54" t="s">
        <v>2336</v>
      </c>
      <c r="C432" s="19"/>
      <c r="D432" s="20"/>
      <c r="E432" s="179"/>
      <c r="F432" s="179">
        <f t="shared" si="1"/>
        <v>0</v>
      </c>
    </row>
    <row r="433" spans="1:6" s="43" customFormat="1" ht="14.25" customHeight="1">
      <c r="A433" s="17"/>
      <c r="B433" s="54"/>
      <c r="C433" s="19"/>
      <c r="D433" s="20"/>
      <c r="E433" s="179"/>
      <c r="F433" s="179">
        <f t="shared" si="1"/>
        <v>0</v>
      </c>
    </row>
    <row r="434" spans="1:6" s="43" customFormat="1" ht="12.75">
      <c r="A434" s="17"/>
      <c r="B434" s="54" t="s">
        <v>2041</v>
      </c>
      <c r="C434" s="19"/>
      <c r="D434" s="20"/>
      <c r="E434" s="179"/>
      <c r="F434" s="179">
        <f t="shared" si="1"/>
        <v>0</v>
      </c>
    </row>
    <row r="435" spans="1:6" s="43" customFormat="1" ht="12.75" customHeight="1">
      <c r="A435" s="187"/>
      <c r="B435" s="54" t="s">
        <v>2569</v>
      </c>
      <c r="C435" s="19"/>
      <c r="D435" s="20"/>
      <c r="E435" s="179"/>
      <c r="F435" s="179">
        <f t="shared" si="1"/>
        <v>0</v>
      </c>
    </row>
    <row r="436" spans="1:6" s="43" customFormat="1" ht="12.75">
      <c r="A436" s="17"/>
      <c r="B436" s="54" t="s">
        <v>2570</v>
      </c>
      <c r="C436" s="19"/>
      <c r="D436" s="20"/>
      <c r="E436" s="179"/>
      <c r="F436" s="179">
        <f t="shared" si="1"/>
        <v>0</v>
      </c>
    </row>
    <row r="437" spans="1:6" s="43" customFormat="1" ht="12.75" customHeight="1">
      <c r="A437" s="17"/>
      <c r="B437" s="54" t="s">
        <v>2042</v>
      </c>
      <c r="C437" s="19"/>
      <c r="D437" s="20"/>
      <c r="E437" s="179"/>
      <c r="F437" s="179">
        <f t="shared" si="1"/>
        <v>0</v>
      </c>
    </row>
    <row r="438" spans="1:6" s="43" customFormat="1" ht="9" customHeight="1">
      <c r="A438" s="17"/>
      <c r="B438" s="54"/>
      <c r="C438" s="19"/>
      <c r="D438" s="20"/>
      <c r="E438" s="179"/>
      <c r="F438" s="179">
        <f t="shared" si="1"/>
        <v>0</v>
      </c>
    </row>
    <row r="439" spans="1:6" s="43" customFormat="1" ht="12.75" customHeight="1">
      <c r="A439" s="245"/>
      <c r="B439" s="54" t="s">
        <v>2544</v>
      </c>
      <c r="C439" s="19"/>
      <c r="D439" s="20"/>
      <c r="E439" s="179"/>
      <c r="F439" s="179">
        <f t="shared" si="1"/>
        <v>0</v>
      </c>
    </row>
    <row r="440" spans="1:6" s="43" customFormat="1" ht="12.75">
      <c r="A440" s="17"/>
      <c r="B440" s="54" t="s">
        <v>2537</v>
      </c>
      <c r="C440" s="19" t="s">
        <v>1561</v>
      </c>
      <c r="D440" s="20">
        <v>1</v>
      </c>
      <c r="E440" s="179">
        <f>E430</f>
        <v>2358.410351745525</v>
      </c>
      <c r="F440" s="179">
        <f t="shared" si="1"/>
        <v>2358.410351745525</v>
      </c>
    </row>
    <row r="441" spans="1:6" s="43" customFormat="1" ht="12.75">
      <c r="A441" s="17"/>
      <c r="B441" s="54"/>
      <c r="C441" s="19"/>
      <c r="D441" s="20"/>
      <c r="E441" s="179"/>
      <c r="F441" s="179">
        <f t="shared" si="1"/>
        <v>0</v>
      </c>
    </row>
    <row r="442" spans="1:6" s="43" customFormat="1" ht="12.75">
      <c r="A442" s="17" t="s">
        <v>867</v>
      </c>
      <c r="B442" s="54" t="s">
        <v>2337</v>
      </c>
      <c r="C442" s="19"/>
      <c r="D442" s="20"/>
      <c r="E442" s="179"/>
      <c r="F442" s="179">
        <f t="shared" si="1"/>
        <v>0</v>
      </c>
    </row>
    <row r="443" spans="1:6" s="43" customFormat="1" ht="12.75">
      <c r="A443" s="17"/>
      <c r="B443" s="54"/>
      <c r="C443" s="19"/>
      <c r="D443" s="20"/>
      <c r="E443" s="179"/>
      <c r="F443" s="179">
        <f t="shared" si="1"/>
        <v>0</v>
      </c>
    </row>
    <row r="444" spans="1:6" s="43" customFormat="1" ht="12.75" customHeight="1">
      <c r="A444" s="17"/>
      <c r="B444" s="54" t="s">
        <v>2041</v>
      </c>
      <c r="C444" s="19"/>
      <c r="D444" s="20"/>
      <c r="E444" s="179"/>
      <c r="F444" s="179">
        <f t="shared" si="1"/>
        <v>0</v>
      </c>
    </row>
    <row r="445" spans="1:6" s="43" customFormat="1" ht="12.75">
      <c r="A445" s="17"/>
      <c r="B445" s="54" t="s">
        <v>2569</v>
      </c>
      <c r="C445" s="19"/>
      <c r="D445" s="20"/>
      <c r="E445" s="179"/>
      <c r="F445" s="179">
        <f t="shared" si="1"/>
        <v>0</v>
      </c>
    </row>
    <row r="446" spans="1:6" s="43" customFormat="1" ht="12.75" customHeight="1">
      <c r="A446" s="187"/>
      <c r="B446" s="54" t="s">
        <v>2796</v>
      </c>
      <c r="C446" s="19"/>
      <c r="D446" s="20"/>
      <c r="E446" s="179"/>
      <c r="F446" s="179">
        <f t="shared" si="1"/>
        <v>0</v>
      </c>
    </row>
    <row r="447" spans="1:6" s="43" customFormat="1" ht="12.75">
      <c r="A447" s="17"/>
      <c r="B447" s="54" t="s">
        <v>2042</v>
      </c>
      <c r="C447" s="19"/>
      <c r="D447" s="20"/>
      <c r="E447" s="179"/>
      <c r="F447" s="179">
        <f t="shared" si="1"/>
        <v>0</v>
      </c>
    </row>
    <row r="448" spans="1:6" s="43" customFormat="1" ht="12.75">
      <c r="A448" s="17"/>
      <c r="B448" s="54"/>
      <c r="C448" s="19"/>
      <c r="D448" s="20"/>
      <c r="E448" s="179"/>
      <c r="F448" s="179">
        <f t="shared" si="1"/>
        <v>0</v>
      </c>
    </row>
    <row r="449" spans="1:6" s="43" customFormat="1" ht="12.75">
      <c r="A449" s="17"/>
      <c r="B449" s="54" t="s">
        <v>2544</v>
      </c>
      <c r="C449" s="19"/>
      <c r="D449" s="20"/>
      <c r="E449" s="179"/>
      <c r="F449" s="179">
        <f t="shared" si="1"/>
        <v>0</v>
      </c>
    </row>
    <row r="450" spans="1:6" s="43" customFormat="1" ht="12" customHeight="1">
      <c r="A450" s="17"/>
      <c r="B450" s="54" t="s">
        <v>2537</v>
      </c>
      <c r="C450" s="19" t="s">
        <v>1561</v>
      </c>
      <c r="D450" s="20">
        <v>1</v>
      </c>
      <c r="E450" s="179">
        <f>E440</f>
        <v>2358.410351745525</v>
      </c>
      <c r="F450" s="179">
        <f t="shared" si="1"/>
        <v>2358.410351745525</v>
      </c>
    </row>
    <row r="451" spans="1:6" s="43" customFormat="1" ht="12.75">
      <c r="A451" s="17"/>
      <c r="B451" s="54"/>
      <c r="C451" s="19"/>
      <c r="D451" s="20"/>
      <c r="E451" s="179"/>
      <c r="F451" s="179">
        <f t="shared" si="1"/>
        <v>0</v>
      </c>
    </row>
    <row r="452" spans="1:6" s="43" customFormat="1" ht="14.25" customHeight="1">
      <c r="A452" s="17" t="s">
        <v>472</v>
      </c>
      <c r="B452" s="54" t="s">
        <v>2801</v>
      </c>
      <c r="C452" s="19"/>
      <c r="D452" s="20"/>
      <c r="E452" s="179"/>
      <c r="F452" s="179">
        <f t="shared" si="1"/>
        <v>0</v>
      </c>
    </row>
    <row r="453" spans="1:6" s="43" customFormat="1" ht="12.75">
      <c r="A453" s="17"/>
      <c r="B453" s="54"/>
      <c r="C453" s="19"/>
      <c r="D453" s="20"/>
      <c r="E453" s="179"/>
      <c r="F453" s="179">
        <f t="shared" si="1"/>
        <v>0</v>
      </c>
    </row>
    <row r="454" spans="1:6" s="43" customFormat="1" ht="12.75" customHeight="1">
      <c r="A454" s="187"/>
      <c r="B454" s="54" t="s">
        <v>2568</v>
      </c>
      <c r="C454" s="19"/>
      <c r="D454" s="20"/>
      <c r="E454" s="179"/>
      <c r="F454" s="179">
        <f t="shared" si="1"/>
        <v>0</v>
      </c>
    </row>
    <row r="455" spans="1:6" s="43" customFormat="1" ht="12.75">
      <c r="A455" s="17"/>
      <c r="B455" s="54" t="s">
        <v>2569</v>
      </c>
      <c r="C455" s="19"/>
      <c r="D455" s="20"/>
      <c r="E455" s="179"/>
      <c r="F455" s="179">
        <f t="shared" si="1"/>
        <v>0</v>
      </c>
    </row>
    <row r="456" spans="1:6" s="43" customFormat="1" ht="12.75" customHeight="1">
      <c r="A456" s="17"/>
      <c r="B456" s="54" t="s">
        <v>2570</v>
      </c>
      <c r="C456" s="19"/>
      <c r="D456" s="20"/>
      <c r="E456" s="179"/>
      <c r="F456" s="179">
        <f t="shared" si="1"/>
        <v>0</v>
      </c>
    </row>
    <row r="457" spans="1:6" s="43" customFormat="1" ht="12.75" customHeight="1">
      <c r="A457" s="17"/>
      <c r="B457" s="54" t="s">
        <v>2548</v>
      </c>
      <c r="C457" s="19"/>
      <c r="D457" s="20"/>
      <c r="E457" s="179"/>
      <c r="F457" s="179">
        <f t="shared" si="1"/>
        <v>0</v>
      </c>
    </row>
    <row r="458" spans="1:6" s="43" customFormat="1" ht="12.75" customHeight="1">
      <c r="A458" s="245"/>
      <c r="B458" s="54"/>
      <c r="C458" s="19"/>
      <c r="D458" s="20"/>
      <c r="E458" s="179"/>
      <c r="F458" s="179">
        <f t="shared" si="1"/>
        <v>0</v>
      </c>
    </row>
    <row r="459" spans="1:6" s="43" customFormat="1" ht="12.75">
      <c r="A459" s="17"/>
      <c r="B459" s="54" t="s">
        <v>2544</v>
      </c>
      <c r="C459" s="19"/>
      <c r="D459" s="20"/>
      <c r="E459" s="179"/>
      <c r="F459" s="179">
        <f t="shared" si="1"/>
        <v>0</v>
      </c>
    </row>
    <row r="460" spans="1:6" s="43" customFormat="1" ht="12.75">
      <c r="A460" s="17"/>
      <c r="B460" s="54" t="s">
        <v>2537</v>
      </c>
      <c r="C460" s="19" t="s">
        <v>1561</v>
      </c>
      <c r="D460" s="20">
        <v>1</v>
      </c>
      <c r="E460" s="179">
        <f>E450</f>
        <v>2358.410351745525</v>
      </c>
      <c r="F460" s="179">
        <f t="shared" si="1"/>
        <v>2358.410351745525</v>
      </c>
    </row>
    <row r="461" spans="1:6" s="43" customFormat="1" ht="12.75">
      <c r="A461" s="187"/>
      <c r="B461" s="54"/>
      <c r="C461" s="19"/>
      <c r="D461" s="20"/>
      <c r="E461" s="179"/>
      <c r="F461" s="179">
        <f t="shared" si="1"/>
        <v>0</v>
      </c>
    </row>
    <row r="462" spans="1:6" s="43" customFormat="1" ht="12.75">
      <c r="A462" s="17"/>
      <c r="B462" s="54"/>
      <c r="C462" s="19"/>
      <c r="D462" s="20"/>
      <c r="E462" s="179"/>
      <c r="F462" s="179">
        <f t="shared" si="1"/>
        <v>0</v>
      </c>
    </row>
    <row r="463" spans="1:6" s="43" customFormat="1" ht="12" customHeight="1">
      <c r="A463" s="17" t="s">
        <v>473</v>
      </c>
      <c r="B463" s="54" t="s">
        <v>2802</v>
      </c>
      <c r="C463" s="19"/>
      <c r="D463" s="20"/>
      <c r="E463" s="179"/>
      <c r="F463" s="179">
        <f t="shared" si="1"/>
        <v>0</v>
      </c>
    </row>
    <row r="464" spans="1:6" s="43" customFormat="1" ht="12.75">
      <c r="A464" s="17"/>
      <c r="B464" s="54"/>
      <c r="C464" s="19"/>
      <c r="D464" s="20"/>
      <c r="E464" s="179"/>
      <c r="F464" s="179">
        <f t="shared" si="1"/>
        <v>0</v>
      </c>
    </row>
    <row r="465" spans="1:6" s="43" customFormat="1" ht="14.25" customHeight="1">
      <c r="A465" s="17"/>
      <c r="B465" s="54" t="s">
        <v>2041</v>
      </c>
      <c r="C465" s="19"/>
      <c r="D465" s="20"/>
      <c r="E465" s="179"/>
      <c r="F465" s="179">
        <f t="shared" si="1"/>
        <v>0</v>
      </c>
    </row>
    <row r="466" spans="1:6" s="43" customFormat="1" ht="12.75">
      <c r="A466" s="17"/>
      <c r="B466" s="54" t="s">
        <v>2569</v>
      </c>
      <c r="C466" s="19"/>
      <c r="D466" s="20"/>
      <c r="E466" s="179"/>
      <c r="F466" s="179">
        <f t="shared" si="1"/>
        <v>0</v>
      </c>
    </row>
    <row r="467" spans="1:6" s="43" customFormat="1" ht="12.75" customHeight="1">
      <c r="A467" s="187"/>
      <c r="B467" s="54" t="s">
        <v>2570</v>
      </c>
      <c r="C467" s="19"/>
      <c r="D467" s="20"/>
      <c r="E467" s="179"/>
      <c r="F467" s="179">
        <f t="shared" si="1"/>
        <v>0</v>
      </c>
    </row>
    <row r="468" spans="1:6" s="43" customFormat="1" ht="12.75">
      <c r="A468" s="17"/>
      <c r="B468" s="54" t="s">
        <v>2042</v>
      </c>
      <c r="C468" s="19"/>
      <c r="D468" s="20"/>
      <c r="E468" s="179"/>
      <c r="F468" s="179">
        <f t="shared" si="1"/>
        <v>0</v>
      </c>
    </row>
    <row r="469" spans="1:6" s="43" customFormat="1" ht="12.75" customHeight="1">
      <c r="A469" s="17"/>
      <c r="B469" s="54"/>
      <c r="C469" s="19"/>
      <c r="D469" s="20"/>
      <c r="E469" s="179"/>
      <c r="F469" s="179">
        <f t="shared" si="1"/>
        <v>0</v>
      </c>
    </row>
    <row r="470" spans="1:6" s="43" customFormat="1" ht="12.75">
      <c r="A470" s="17"/>
      <c r="B470" s="54" t="s">
        <v>2544</v>
      </c>
      <c r="C470" s="19"/>
      <c r="D470" s="20"/>
      <c r="E470" s="179"/>
      <c r="F470" s="179">
        <f t="shared" si="1"/>
        <v>0</v>
      </c>
    </row>
    <row r="471" spans="1:6" s="43" customFormat="1" ht="12.75" customHeight="1">
      <c r="A471" s="245"/>
      <c r="B471" s="54" t="s">
        <v>2537</v>
      </c>
      <c r="C471" s="19" t="s">
        <v>1561</v>
      </c>
      <c r="D471" s="20">
        <v>1</v>
      </c>
      <c r="E471" s="179">
        <f>E460</f>
        <v>2358.410351745525</v>
      </c>
      <c r="F471" s="179">
        <f t="shared" si="1"/>
        <v>2358.410351745525</v>
      </c>
    </row>
    <row r="472" spans="1:6" s="43" customFormat="1" ht="12.75">
      <c r="A472" s="17"/>
      <c r="B472" s="54"/>
      <c r="C472" s="19"/>
      <c r="D472" s="20"/>
      <c r="E472" s="179"/>
      <c r="F472" s="179">
        <f t="shared" si="1"/>
        <v>0</v>
      </c>
    </row>
    <row r="473" spans="1:6" s="43" customFormat="1" ht="12.75">
      <c r="A473" s="17" t="s">
        <v>474</v>
      </c>
      <c r="B473" s="54" t="s">
        <v>2803</v>
      </c>
      <c r="C473" s="19"/>
      <c r="D473" s="20"/>
      <c r="E473" s="179"/>
      <c r="F473" s="179">
        <f t="shared" si="1"/>
        <v>0</v>
      </c>
    </row>
    <row r="474" spans="1:6" s="43" customFormat="1" ht="12.75">
      <c r="A474" s="187"/>
      <c r="B474" s="54"/>
      <c r="C474" s="19"/>
      <c r="D474" s="20"/>
      <c r="E474" s="179"/>
      <c r="F474" s="179">
        <f t="shared" si="1"/>
        <v>0</v>
      </c>
    </row>
    <row r="475" spans="1:6" s="43" customFormat="1" ht="12.75">
      <c r="A475" s="17"/>
      <c r="B475" s="54" t="s">
        <v>2041</v>
      </c>
      <c r="C475" s="19"/>
      <c r="D475" s="20"/>
      <c r="E475" s="179"/>
      <c r="F475" s="179">
        <f t="shared" si="1"/>
        <v>0</v>
      </c>
    </row>
    <row r="476" spans="1:6" s="43" customFormat="1" ht="12.75" customHeight="1">
      <c r="A476" s="17"/>
      <c r="B476" s="54" t="s">
        <v>2569</v>
      </c>
      <c r="C476" s="19"/>
      <c r="D476" s="20"/>
      <c r="E476" s="179"/>
      <c r="F476" s="179">
        <f t="shared" si="1"/>
        <v>0</v>
      </c>
    </row>
    <row r="477" spans="1:6" s="43" customFormat="1" ht="12.75">
      <c r="A477" s="17"/>
      <c r="B477" s="54" t="s">
        <v>2796</v>
      </c>
      <c r="C477" s="19"/>
      <c r="D477" s="20"/>
      <c r="E477" s="179"/>
      <c r="F477" s="179">
        <f t="shared" si="1"/>
        <v>0</v>
      </c>
    </row>
    <row r="478" spans="1:6" s="43" customFormat="1" ht="12.75" customHeight="1">
      <c r="A478" s="187"/>
      <c r="B478" s="54" t="s">
        <v>2042</v>
      </c>
      <c r="C478" s="19"/>
      <c r="D478" s="20"/>
      <c r="E478" s="179"/>
      <c r="F478" s="179">
        <f t="shared" si="1"/>
        <v>0</v>
      </c>
    </row>
    <row r="479" spans="1:6" s="43" customFormat="1" ht="12.75">
      <c r="A479" s="17"/>
      <c r="B479" s="54"/>
      <c r="C479" s="19"/>
      <c r="D479" s="20"/>
      <c r="E479" s="179"/>
      <c r="F479" s="179">
        <f t="shared" si="1"/>
        <v>0</v>
      </c>
    </row>
    <row r="480" spans="1:6" s="43" customFormat="1" ht="12.75">
      <c r="A480" s="17"/>
      <c r="B480" s="54" t="s">
        <v>2544</v>
      </c>
      <c r="C480" s="19"/>
      <c r="D480" s="20"/>
      <c r="E480" s="179"/>
      <c r="F480" s="179">
        <f t="shared" si="1"/>
        <v>0</v>
      </c>
    </row>
    <row r="481" spans="1:6" s="43" customFormat="1" ht="12.75">
      <c r="A481" s="17"/>
      <c r="B481" s="54" t="s">
        <v>2537</v>
      </c>
      <c r="C481" s="19" t="s">
        <v>1561</v>
      </c>
      <c r="D481" s="20">
        <v>1</v>
      </c>
      <c r="E481" s="179">
        <f>E471</f>
        <v>2358.410351745525</v>
      </c>
      <c r="F481" s="179">
        <f t="shared" si="1"/>
        <v>2358.410351745525</v>
      </c>
    </row>
    <row r="482" spans="1:6" s="43" customFormat="1" ht="12" customHeight="1">
      <c r="A482" s="17"/>
      <c r="B482" s="54"/>
      <c r="C482" s="19"/>
      <c r="D482" s="20"/>
      <c r="E482" s="179"/>
      <c r="F482" s="179">
        <f t="shared" si="1"/>
        <v>0</v>
      </c>
    </row>
    <row r="483" spans="1:6" s="43" customFormat="1" ht="12.75">
      <c r="A483" s="17" t="s">
        <v>475</v>
      </c>
      <c r="B483" s="54" t="s">
        <v>2804</v>
      </c>
      <c r="C483" s="19"/>
      <c r="D483" s="20"/>
      <c r="E483" s="179"/>
      <c r="F483" s="179">
        <f t="shared" si="1"/>
        <v>0</v>
      </c>
    </row>
    <row r="484" spans="1:6" s="43" customFormat="1" ht="14.25" customHeight="1">
      <c r="A484" s="17"/>
      <c r="B484" s="54"/>
      <c r="C484" s="19"/>
      <c r="D484" s="20"/>
      <c r="E484" s="179"/>
      <c r="F484" s="179">
        <f t="shared" si="1"/>
        <v>0</v>
      </c>
    </row>
    <row r="485" spans="1:6" s="43" customFormat="1" ht="12.75">
      <c r="A485" s="17"/>
      <c r="B485" s="54" t="s">
        <v>2568</v>
      </c>
      <c r="C485" s="19"/>
      <c r="D485" s="20"/>
      <c r="E485" s="179"/>
      <c r="F485" s="179">
        <f t="shared" si="1"/>
        <v>0</v>
      </c>
    </row>
    <row r="486" spans="1:6" s="43" customFormat="1" ht="12.75" customHeight="1">
      <c r="A486" s="187"/>
      <c r="B486" s="54" t="s">
        <v>2569</v>
      </c>
      <c r="C486" s="19"/>
      <c r="D486" s="20"/>
      <c r="E486" s="179"/>
      <c r="F486" s="179">
        <f t="shared" si="1"/>
        <v>0</v>
      </c>
    </row>
    <row r="487" spans="1:6" s="43" customFormat="1" ht="12.75">
      <c r="A487" s="17"/>
      <c r="B487" s="54" t="s">
        <v>2570</v>
      </c>
      <c r="C487" s="19"/>
      <c r="D487" s="20"/>
      <c r="E487" s="179"/>
      <c r="F487" s="179">
        <f aca="true" t="shared" si="2" ref="F487:F550">D487*E487</f>
        <v>0</v>
      </c>
    </row>
    <row r="488" spans="1:6" s="43" customFormat="1" ht="12.75" customHeight="1">
      <c r="A488" s="17"/>
      <c r="B488" s="54" t="s">
        <v>2548</v>
      </c>
      <c r="C488" s="19"/>
      <c r="D488" s="20"/>
      <c r="E488" s="179"/>
      <c r="F488" s="179">
        <f t="shared" si="2"/>
        <v>0</v>
      </c>
    </row>
    <row r="489" spans="1:6" s="43" customFormat="1" ht="9" customHeight="1">
      <c r="A489" s="17"/>
      <c r="B489" s="54"/>
      <c r="C489" s="19"/>
      <c r="D489" s="20"/>
      <c r="E489" s="179"/>
      <c r="F489" s="179">
        <f t="shared" si="2"/>
        <v>0</v>
      </c>
    </row>
    <row r="490" spans="1:6" s="43" customFormat="1" ht="12.75" customHeight="1">
      <c r="A490" s="245"/>
      <c r="B490" s="54" t="s">
        <v>2544</v>
      </c>
      <c r="C490" s="19"/>
      <c r="D490" s="20"/>
      <c r="E490" s="179"/>
      <c r="F490" s="179">
        <f t="shared" si="2"/>
        <v>0</v>
      </c>
    </row>
    <row r="491" spans="1:6" s="43" customFormat="1" ht="12.75">
      <c r="A491" s="17"/>
      <c r="B491" s="54" t="s">
        <v>2537</v>
      </c>
      <c r="C491" s="19" t="s">
        <v>1561</v>
      </c>
      <c r="D491" s="20">
        <v>1</v>
      </c>
      <c r="E491" s="179">
        <f>E481</f>
        <v>2358.410351745525</v>
      </c>
      <c r="F491" s="179">
        <f t="shared" si="2"/>
        <v>2358.410351745525</v>
      </c>
    </row>
    <row r="492" spans="1:6" s="43" customFormat="1" ht="12.75">
      <c r="A492" s="17"/>
      <c r="B492" s="54"/>
      <c r="C492" s="19"/>
      <c r="D492" s="20"/>
      <c r="E492" s="179"/>
      <c r="F492" s="179">
        <f t="shared" si="2"/>
        <v>0</v>
      </c>
    </row>
    <row r="493" spans="1:6" s="43" customFormat="1" ht="12.75">
      <c r="A493" s="17" t="s">
        <v>476</v>
      </c>
      <c r="B493" s="54" t="s">
        <v>2805</v>
      </c>
      <c r="C493" s="19"/>
      <c r="D493" s="20"/>
      <c r="E493" s="179"/>
      <c r="F493" s="179">
        <f t="shared" si="2"/>
        <v>0</v>
      </c>
    </row>
    <row r="494" spans="1:6" s="43" customFormat="1" ht="12.75">
      <c r="A494" s="17"/>
      <c r="B494" s="54"/>
      <c r="C494" s="19"/>
      <c r="D494" s="20"/>
      <c r="E494" s="179"/>
      <c r="F494" s="179">
        <f t="shared" si="2"/>
        <v>0</v>
      </c>
    </row>
    <row r="495" spans="1:6" s="43" customFormat="1" ht="12.75" customHeight="1">
      <c r="A495" s="17"/>
      <c r="B495" s="54" t="s">
        <v>2041</v>
      </c>
      <c r="C495" s="19"/>
      <c r="D495" s="20"/>
      <c r="E495" s="179"/>
      <c r="F495" s="179">
        <f t="shared" si="2"/>
        <v>0</v>
      </c>
    </row>
    <row r="496" spans="1:6" s="43" customFormat="1" ht="12.75">
      <c r="A496" s="17"/>
      <c r="B496" s="54" t="s">
        <v>2569</v>
      </c>
      <c r="C496" s="19"/>
      <c r="D496" s="20"/>
      <c r="E496" s="179"/>
      <c r="F496" s="179">
        <f t="shared" si="2"/>
        <v>0</v>
      </c>
    </row>
    <row r="497" spans="1:6" s="43" customFormat="1" ht="12.75" customHeight="1">
      <c r="A497" s="187"/>
      <c r="B497" s="54" t="s">
        <v>2570</v>
      </c>
      <c r="C497" s="19"/>
      <c r="D497" s="20"/>
      <c r="E497" s="179"/>
      <c r="F497" s="179">
        <f t="shared" si="2"/>
        <v>0</v>
      </c>
    </row>
    <row r="498" spans="1:6" s="43" customFormat="1" ht="12.75">
      <c r="A498" s="17"/>
      <c r="B498" s="54" t="s">
        <v>2042</v>
      </c>
      <c r="C498" s="19"/>
      <c r="D498" s="20"/>
      <c r="E498" s="179"/>
      <c r="F498" s="179">
        <f t="shared" si="2"/>
        <v>0</v>
      </c>
    </row>
    <row r="499" spans="1:6" s="43" customFormat="1" ht="12.75">
      <c r="A499" s="17"/>
      <c r="B499" s="54"/>
      <c r="C499" s="19"/>
      <c r="D499" s="20"/>
      <c r="E499" s="179"/>
      <c r="F499" s="179">
        <f t="shared" si="2"/>
        <v>0</v>
      </c>
    </row>
    <row r="500" spans="1:6" s="43" customFormat="1" ht="12.75">
      <c r="A500" s="17"/>
      <c r="B500" s="54" t="s">
        <v>2544</v>
      </c>
      <c r="C500" s="19"/>
      <c r="D500" s="20"/>
      <c r="E500" s="179"/>
      <c r="F500" s="179">
        <f t="shared" si="2"/>
        <v>0</v>
      </c>
    </row>
    <row r="501" spans="1:6" s="43" customFormat="1" ht="12" customHeight="1">
      <c r="A501" s="17"/>
      <c r="B501" s="54" t="s">
        <v>2537</v>
      </c>
      <c r="C501" s="19" t="s">
        <v>1561</v>
      </c>
      <c r="D501" s="20">
        <v>1</v>
      </c>
      <c r="E501" s="179">
        <f>E491</f>
        <v>2358.410351745525</v>
      </c>
      <c r="F501" s="179">
        <f t="shared" si="2"/>
        <v>2358.410351745525</v>
      </c>
    </row>
    <row r="502" spans="1:6" s="43" customFormat="1" ht="12.75">
      <c r="A502" s="17"/>
      <c r="B502" s="54"/>
      <c r="C502" s="19"/>
      <c r="D502" s="20"/>
      <c r="E502" s="179"/>
      <c r="F502" s="179">
        <f t="shared" si="2"/>
        <v>0</v>
      </c>
    </row>
    <row r="503" spans="1:6" s="43" customFormat="1" ht="12.75">
      <c r="A503" s="17" t="s">
        <v>477</v>
      </c>
      <c r="B503" s="54" t="s">
        <v>2806</v>
      </c>
      <c r="C503" s="19"/>
      <c r="D503" s="20"/>
      <c r="E503" s="179"/>
      <c r="F503" s="179">
        <f t="shared" si="2"/>
        <v>0</v>
      </c>
    </row>
    <row r="504" spans="1:6" s="43" customFormat="1" ht="12.75">
      <c r="A504" s="17"/>
      <c r="B504" s="54"/>
      <c r="C504" s="19"/>
      <c r="D504" s="20"/>
      <c r="E504" s="179"/>
      <c r="F504" s="179">
        <f t="shared" si="2"/>
        <v>0</v>
      </c>
    </row>
    <row r="505" spans="1:6" s="43" customFormat="1" ht="12.75">
      <c r="A505" s="187"/>
      <c r="B505" s="54" t="s">
        <v>2041</v>
      </c>
      <c r="C505" s="19"/>
      <c r="D505" s="20"/>
      <c r="E505" s="179"/>
      <c r="F505" s="179">
        <f t="shared" si="2"/>
        <v>0</v>
      </c>
    </row>
    <row r="506" spans="1:6" s="43" customFormat="1" ht="12.75">
      <c r="A506" s="17"/>
      <c r="B506" s="54" t="s">
        <v>2569</v>
      </c>
      <c r="C506" s="19"/>
      <c r="D506" s="20"/>
      <c r="E506" s="179"/>
      <c r="F506" s="179">
        <f t="shared" si="2"/>
        <v>0</v>
      </c>
    </row>
    <row r="507" spans="1:6" s="43" customFormat="1" ht="12.75" customHeight="1">
      <c r="A507" s="17"/>
      <c r="B507" s="54" t="s">
        <v>2796</v>
      </c>
      <c r="C507" s="19"/>
      <c r="D507" s="20"/>
      <c r="E507" s="179"/>
      <c r="F507" s="179">
        <f t="shared" si="2"/>
        <v>0</v>
      </c>
    </row>
    <row r="508" spans="1:6" s="43" customFormat="1" ht="12.75">
      <c r="A508" s="17"/>
      <c r="B508" s="54" t="s">
        <v>2042</v>
      </c>
      <c r="C508" s="19"/>
      <c r="D508" s="20"/>
      <c r="E508" s="179"/>
      <c r="F508" s="179">
        <f t="shared" si="2"/>
        <v>0</v>
      </c>
    </row>
    <row r="509" spans="1:6" s="43" customFormat="1" ht="12.75" customHeight="1">
      <c r="A509" s="187"/>
      <c r="B509" s="54"/>
      <c r="C509" s="19"/>
      <c r="D509" s="20"/>
      <c r="E509" s="179"/>
      <c r="F509" s="179">
        <f t="shared" si="2"/>
        <v>0</v>
      </c>
    </row>
    <row r="510" spans="1:6" s="43" customFormat="1" ht="12.75">
      <c r="A510" s="17"/>
      <c r="B510" s="54" t="s">
        <v>2544</v>
      </c>
      <c r="C510" s="19"/>
      <c r="D510" s="20"/>
      <c r="E510" s="179"/>
      <c r="F510" s="179">
        <f t="shared" si="2"/>
        <v>0</v>
      </c>
    </row>
    <row r="511" spans="1:6" s="43" customFormat="1" ht="12.75">
      <c r="A511" s="17"/>
      <c r="B511" s="54" t="s">
        <v>2537</v>
      </c>
      <c r="C511" s="19" t="s">
        <v>1561</v>
      </c>
      <c r="D511" s="20">
        <v>1</v>
      </c>
      <c r="E511" s="179">
        <f>E501</f>
        <v>2358.410351745525</v>
      </c>
      <c r="F511" s="179">
        <f t="shared" si="2"/>
        <v>2358.410351745525</v>
      </c>
    </row>
    <row r="512" spans="1:6" s="43" customFormat="1" ht="12.75">
      <c r="A512" s="17"/>
      <c r="B512" s="54"/>
      <c r="C512" s="19"/>
      <c r="D512" s="20"/>
      <c r="E512" s="179"/>
      <c r="F512" s="179">
        <f t="shared" si="2"/>
        <v>0</v>
      </c>
    </row>
    <row r="513" spans="1:6" s="43" customFormat="1" ht="12" customHeight="1">
      <c r="A513" s="17" t="s">
        <v>478</v>
      </c>
      <c r="B513" s="54" t="s">
        <v>71</v>
      </c>
      <c r="C513" s="19"/>
      <c r="D513" s="20"/>
      <c r="E513" s="179"/>
      <c r="F513" s="179">
        <f t="shared" si="2"/>
        <v>0</v>
      </c>
    </row>
    <row r="514" spans="1:6" s="43" customFormat="1" ht="12.75">
      <c r="A514" s="17"/>
      <c r="B514" s="54"/>
      <c r="C514" s="19"/>
      <c r="D514" s="20"/>
      <c r="E514" s="179"/>
      <c r="F514" s="179">
        <f t="shared" si="2"/>
        <v>0</v>
      </c>
    </row>
    <row r="515" spans="1:6" s="43" customFormat="1" ht="14.25" customHeight="1">
      <c r="A515" s="17"/>
      <c r="B515" s="54" t="s">
        <v>2568</v>
      </c>
      <c r="C515" s="19"/>
      <c r="D515" s="20"/>
      <c r="E515" s="179"/>
      <c r="F515" s="179">
        <f t="shared" si="2"/>
        <v>0</v>
      </c>
    </row>
    <row r="516" spans="1:6" s="43" customFormat="1" ht="12.75">
      <c r="A516" s="17"/>
      <c r="B516" s="54" t="s">
        <v>2569</v>
      </c>
      <c r="C516" s="19"/>
      <c r="D516" s="20"/>
      <c r="E516" s="179"/>
      <c r="F516" s="179">
        <f t="shared" si="2"/>
        <v>0</v>
      </c>
    </row>
    <row r="517" spans="1:6" s="43" customFormat="1" ht="12.75" customHeight="1">
      <c r="A517" s="187"/>
      <c r="B517" s="54" t="s">
        <v>2570</v>
      </c>
      <c r="C517" s="19"/>
      <c r="D517" s="20"/>
      <c r="E517" s="179"/>
      <c r="F517" s="179">
        <f t="shared" si="2"/>
        <v>0</v>
      </c>
    </row>
    <row r="518" spans="1:6" s="43" customFormat="1" ht="12.75">
      <c r="A518" s="17"/>
      <c r="B518" s="54" t="s">
        <v>2548</v>
      </c>
      <c r="C518" s="19"/>
      <c r="D518" s="20"/>
      <c r="E518" s="179"/>
      <c r="F518" s="179">
        <f t="shared" si="2"/>
        <v>0</v>
      </c>
    </row>
    <row r="519" spans="1:6" s="43" customFormat="1" ht="12.75" customHeight="1">
      <c r="A519" s="17"/>
      <c r="B519" s="54"/>
      <c r="C519" s="19"/>
      <c r="D519" s="20"/>
      <c r="E519" s="179"/>
      <c r="F519" s="179">
        <f t="shared" si="2"/>
        <v>0</v>
      </c>
    </row>
    <row r="520" spans="1:6" s="43" customFormat="1" ht="12.75">
      <c r="A520" s="17"/>
      <c r="B520" s="54" t="s">
        <v>2544</v>
      </c>
      <c r="C520" s="19"/>
      <c r="D520" s="20"/>
      <c r="E520" s="179"/>
      <c r="F520" s="179">
        <f t="shared" si="2"/>
        <v>0</v>
      </c>
    </row>
    <row r="521" spans="1:6" s="43" customFormat="1" ht="12.75" customHeight="1">
      <c r="A521" s="245"/>
      <c r="B521" s="54" t="s">
        <v>2537</v>
      </c>
      <c r="C521" s="19" t="s">
        <v>1561</v>
      </c>
      <c r="D521" s="20">
        <v>1</v>
      </c>
      <c r="E521" s="179">
        <f>E511</f>
        <v>2358.410351745525</v>
      </c>
      <c r="F521" s="179">
        <f t="shared" si="2"/>
        <v>2358.410351745525</v>
      </c>
    </row>
    <row r="522" spans="1:6" s="43" customFormat="1" ht="12.75">
      <c r="A522" s="17"/>
      <c r="B522" s="54"/>
      <c r="C522" s="19"/>
      <c r="D522" s="20"/>
      <c r="E522" s="179"/>
      <c r="F522" s="179">
        <f t="shared" si="2"/>
        <v>0</v>
      </c>
    </row>
    <row r="523" spans="1:6" s="43" customFormat="1" ht="12.75">
      <c r="A523" s="17" t="s">
        <v>479</v>
      </c>
      <c r="B523" s="54" t="s">
        <v>72</v>
      </c>
      <c r="C523" s="19"/>
      <c r="D523" s="20"/>
      <c r="E523" s="179"/>
      <c r="F523" s="179">
        <f t="shared" si="2"/>
        <v>0</v>
      </c>
    </row>
    <row r="524" spans="1:6" s="43" customFormat="1" ht="12.75">
      <c r="A524" s="187"/>
      <c r="B524" s="54"/>
      <c r="C524" s="19"/>
      <c r="D524" s="20"/>
      <c r="E524" s="179"/>
      <c r="F524" s="179">
        <f t="shared" si="2"/>
        <v>0</v>
      </c>
    </row>
    <row r="525" spans="1:6" s="43" customFormat="1" ht="12.75">
      <c r="A525" s="17"/>
      <c r="B525" s="54" t="s">
        <v>2041</v>
      </c>
      <c r="C525" s="19"/>
      <c r="D525" s="20"/>
      <c r="E525" s="179"/>
      <c r="F525" s="179">
        <f t="shared" si="2"/>
        <v>0</v>
      </c>
    </row>
    <row r="526" spans="1:6" s="43" customFormat="1" ht="12.75" customHeight="1">
      <c r="A526" s="17"/>
      <c r="B526" s="54" t="s">
        <v>2569</v>
      </c>
      <c r="C526" s="19"/>
      <c r="D526" s="20"/>
      <c r="E526" s="179"/>
      <c r="F526" s="179">
        <f t="shared" si="2"/>
        <v>0</v>
      </c>
    </row>
    <row r="527" spans="1:6" s="43" customFormat="1" ht="12.75">
      <c r="A527" s="17"/>
      <c r="B527" s="54" t="s">
        <v>2570</v>
      </c>
      <c r="C527" s="19"/>
      <c r="D527" s="20"/>
      <c r="E527" s="179"/>
      <c r="F527" s="179">
        <f t="shared" si="2"/>
        <v>0</v>
      </c>
    </row>
    <row r="528" spans="1:6" s="43" customFormat="1" ht="12.75" customHeight="1">
      <c r="A528" s="187"/>
      <c r="B528" s="54" t="s">
        <v>2042</v>
      </c>
      <c r="C528" s="19"/>
      <c r="D528" s="20"/>
      <c r="E528" s="179"/>
      <c r="F528" s="179">
        <f t="shared" si="2"/>
        <v>0</v>
      </c>
    </row>
    <row r="529" spans="1:6" s="43" customFormat="1" ht="12.75">
      <c r="A529" s="17"/>
      <c r="B529" s="54"/>
      <c r="C529" s="19"/>
      <c r="D529" s="20"/>
      <c r="E529" s="179"/>
      <c r="F529" s="179">
        <f t="shared" si="2"/>
        <v>0</v>
      </c>
    </row>
    <row r="530" spans="1:6" s="43" customFormat="1" ht="12.75">
      <c r="A530" s="17"/>
      <c r="B530" s="54" t="s">
        <v>2544</v>
      </c>
      <c r="C530" s="19"/>
      <c r="D530" s="20"/>
      <c r="E530" s="179"/>
      <c r="F530" s="179">
        <f t="shared" si="2"/>
        <v>0</v>
      </c>
    </row>
    <row r="531" spans="1:6" s="43" customFormat="1" ht="12.75">
      <c r="A531" s="17"/>
      <c r="B531" s="54" t="s">
        <v>2537</v>
      </c>
      <c r="C531" s="19" t="s">
        <v>1561</v>
      </c>
      <c r="D531" s="20">
        <v>1</v>
      </c>
      <c r="E531" s="179">
        <f>E521</f>
        <v>2358.410351745525</v>
      </c>
      <c r="F531" s="179">
        <f t="shared" si="2"/>
        <v>2358.410351745525</v>
      </c>
    </row>
    <row r="532" spans="1:6" s="43" customFormat="1" ht="12" customHeight="1">
      <c r="A532" s="17"/>
      <c r="B532" s="54"/>
      <c r="C532" s="19"/>
      <c r="D532" s="20"/>
      <c r="E532" s="179"/>
      <c r="F532" s="179">
        <f t="shared" si="2"/>
        <v>0</v>
      </c>
    </row>
    <row r="533" spans="1:6" s="43" customFormat="1" ht="12.75">
      <c r="A533" s="17" t="s">
        <v>480</v>
      </c>
      <c r="B533" s="54" t="s">
        <v>73</v>
      </c>
      <c r="C533" s="19"/>
      <c r="D533" s="20"/>
      <c r="E533" s="179"/>
      <c r="F533" s="179">
        <f t="shared" si="2"/>
        <v>0</v>
      </c>
    </row>
    <row r="534" spans="1:6" s="43" customFormat="1" ht="14.25" customHeight="1">
      <c r="A534" s="17"/>
      <c r="B534" s="54"/>
      <c r="C534" s="19"/>
      <c r="D534" s="20"/>
      <c r="E534" s="179"/>
      <c r="F534" s="179">
        <f t="shared" si="2"/>
        <v>0</v>
      </c>
    </row>
    <row r="535" spans="1:6" s="43" customFormat="1" ht="12.75">
      <c r="A535" s="17"/>
      <c r="B535" s="54" t="s">
        <v>2041</v>
      </c>
      <c r="C535" s="19"/>
      <c r="D535" s="20"/>
      <c r="E535" s="179"/>
      <c r="F535" s="179">
        <f t="shared" si="2"/>
        <v>0</v>
      </c>
    </row>
    <row r="536" spans="1:6" s="43" customFormat="1" ht="12.75" customHeight="1">
      <c r="A536" s="187"/>
      <c r="B536" s="54" t="s">
        <v>2569</v>
      </c>
      <c r="C536" s="19"/>
      <c r="D536" s="20"/>
      <c r="E536" s="179"/>
      <c r="F536" s="179">
        <f t="shared" si="2"/>
        <v>0</v>
      </c>
    </row>
    <row r="537" spans="1:6" s="43" customFormat="1" ht="12.75">
      <c r="A537" s="17"/>
      <c r="B537" s="54" t="s">
        <v>2796</v>
      </c>
      <c r="C537" s="19"/>
      <c r="D537" s="20"/>
      <c r="E537" s="179"/>
      <c r="F537" s="179">
        <f t="shared" si="2"/>
        <v>0</v>
      </c>
    </row>
    <row r="538" spans="1:6" s="43" customFormat="1" ht="12.75" customHeight="1">
      <c r="A538" s="17"/>
      <c r="B538" s="54" t="s">
        <v>2042</v>
      </c>
      <c r="C538" s="19"/>
      <c r="D538" s="20"/>
      <c r="E538" s="179"/>
      <c r="F538" s="179">
        <f t="shared" si="2"/>
        <v>0</v>
      </c>
    </row>
    <row r="539" spans="1:6" s="43" customFormat="1" ht="9" customHeight="1">
      <c r="A539" s="17"/>
      <c r="B539" s="54"/>
      <c r="C539" s="19"/>
      <c r="D539" s="20"/>
      <c r="E539" s="179"/>
      <c r="F539" s="179">
        <f t="shared" si="2"/>
        <v>0</v>
      </c>
    </row>
    <row r="540" spans="1:6" s="43" customFormat="1" ht="12.75" customHeight="1">
      <c r="A540" s="245"/>
      <c r="B540" s="54" t="s">
        <v>2544</v>
      </c>
      <c r="C540" s="19"/>
      <c r="D540" s="20"/>
      <c r="E540" s="179"/>
      <c r="F540" s="179">
        <f t="shared" si="2"/>
        <v>0</v>
      </c>
    </row>
    <row r="541" spans="1:6" s="43" customFormat="1" ht="12.75">
      <c r="A541" s="17"/>
      <c r="B541" s="54" t="s">
        <v>2537</v>
      </c>
      <c r="C541" s="19" t="s">
        <v>1561</v>
      </c>
      <c r="D541" s="20">
        <v>1</v>
      </c>
      <c r="E541" s="179">
        <f>E531</f>
        <v>2358.410351745525</v>
      </c>
      <c r="F541" s="179">
        <f t="shared" si="2"/>
        <v>2358.410351745525</v>
      </c>
    </row>
    <row r="542" spans="1:6" s="43" customFormat="1" ht="12.75">
      <c r="A542" s="17"/>
      <c r="B542" s="54"/>
      <c r="C542" s="19"/>
      <c r="D542" s="20"/>
      <c r="E542" s="179"/>
      <c r="F542" s="179">
        <f t="shared" si="2"/>
        <v>0</v>
      </c>
    </row>
    <row r="543" spans="1:6" s="43" customFormat="1" ht="12.75">
      <c r="A543" s="17"/>
      <c r="B543" s="54" t="s">
        <v>1882</v>
      </c>
      <c r="C543" s="19"/>
      <c r="D543" s="20"/>
      <c r="E543" s="179"/>
      <c r="F543" s="179">
        <f t="shared" si="2"/>
        <v>0</v>
      </c>
    </row>
    <row r="544" spans="1:6" s="43" customFormat="1" ht="12" customHeight="1">
      <c r="A544" s="17"/>
      <c r="B544" s="54"/>
      <c r="C544" s="19"/>
      <c r="D544" s="20"/>
      <c r="E544" s="179"/>
      <c r="F544" s="179">
        <f t="shared" si="2"/>
        <v>0</v>
      </c>
    </row>
    <row r="545" spans="1:6" s="43" customFormat="1" ht="12.75">
      <c r="A545" s="17" t="s">
        <v>1883</v>
      </c>
      <c r="B545" s="54" t="s">
        <v>1524</v>
      </c>
      <c r="C545" s="19"/>
      <c r="D545" s="20"/>
      <c r="E545" s="179"/>
      <c r="F545" s="179">
        <f t="shared" si="2"/>
        <v>0</v>
      </c>
    </row>
    <row r="546" spans="1:6" s="43" customFormat="1" ht="14.25" customHeight="1">
      <c r="A546" s="17"/>
      <c r="B546" s="54" t="s">
        <v>1677</v>
      </c>
      <c r="C546" s="19" t="s">
        <v>1561</v>
      </c>
      <c r="D546" s="20">
        <v>321</v>
      </c>
      <c r="E546" s="179">
        <f>'Commercial Block'!E803</f>
        <v>238.74125688437496</v>
      </c>
      <c r="F546" s="179">
        <f t="shared" si="2"/>
        <v>76635.94345988437</v>
      </c>
    </row>
    <row r="547" spans="1:6" s="43" customFormat="1" ht="12.75">
      <c r="A547" s="17"/>
      <c r="B547" s="54"/>
      <c r="C547" s="19"/>
      <c r="D547" s="20"/>
      <c r="E547" s="179"/>
      <c r="F547" s="179">
        <f t="shared" si="2"/>
        <v>0</v>
      </c>
    </row>
    <row r="548" spans="1:6" s="43" customFormat="1" ht="12.75" customHeight="1">
      <c r="A548" s="187"/>
      <c r="B548" s="54" t="s">
        <v>1678</v>
      </c>
      <c r="C548" s="19"/>
      <c r="D548" s="20"/>
      <c r="E548" s="179"/>
      <c r="F548" s="179">
        <f t="shared" si="2"/>
        <v>0</v>
      </c>
    </row>
    <row r="549" spans="1:6" s="43" customFormat="1" ht="12.75">
      <c r="A549" s="17"/>
      <c r="B549" s="54"/>
      <c r="C549" s="19"/>
      <c r="D549" s="20"/>
      <c r="E549" s="179"/>
      <c r="F549" s="179">
        <f t="shared" si="2"/>
        <v>0</v>
      </c>
    </row>
    <row r="550" spans="1:6" s="43" customFormat="1" ht="27" customHeight="1">
      <c r="A550" s="17"/>
      <c r="B550" s="54" t="s">
        <v>663</v>
      </c>
      <c r="C550" s="19"/>
      <c r="D550" s="20"/>
      <c r="E550" s="179"/>
      <c r="F550" s="179">
        <f t="shared" si="2"/>
        <v>0</v>
      </c>
    </row>
    <row r="551" spans="1:6" s="43" customFormat="1" ht="12.75">
      <c r="A551" s="17"/>
      <c r="B551" s="54"/>
      <c r="C551" s="19"/>
      <c r="D551" s="20"/>
      <c r="E551" s="179"/>
      <c r="F551" s="179">
        <f aca="true" t="shared" si="3" ref="F551:F614">D551*E551</f>
        <v>0</v>
      </c>
    </row>
    <row r="552" spans="1:6" s="43" customFormat="1" ht="12.75" customHeight="1">
      <c r="A552" s="245" t="s">
        <v>1679</v>
      </c>
      <c r="B552" s="54" t="s">
        <v>3101</v>
      </c>
      <c r="C552" s="19" t="s">
        <v>1561</v>
      </c>
      <c r="D552" s="20">
        <v>96</v>
      </c>
      <c r="E552" s="179">
        <f>'Commercial Block'!E809</f>
        <v>0</v>
      </c>
      <c r="F552" s="179">
        <f t="shared" si="3"/>
        <v>0</v>
      </c>
    </row>
    <row r="553" spans="1:6" s="43" customFormat="1" ht="12.75">
      <c r="A553" s="17"/>
      <c r="B553" s="54"/>
      <c r="C553" s="19"/>
      <c r="D553" s="20"/>
      <c r="E553" s="179"/>
      <c r="F553" s="179">
        <f t="shared" si="3"/>
        <v>0</v>
      </c>
    </row>
    <row r="554" spans="1:6" s="43" customFormat="1" ht="12.75">
      <c r="A554" s="17" t="s">
        <v>1680</v>
      </c>
      <c r="B554" s="54" t="s">
        <v>2553</v>
      </c>
      <c r="C554" s="19" t="s">
        <v>1561</v>
      </c>
      <c r="D554" s="20">
        <v>30</v>
      </c>
      <c r="E554" s="179">
        <f>'Commercial Block'!E811</f>
        <v>0</v>
      </c>
      <c r="F554" s="179">
        <f t="shared" si="3"/>
        <v>0</v>
      </c>
    </row>
    <row r="555" spans="1:6" s="43" customFormat="1" ht="12.75">
      <c r="A555" s="187"/>
      <c r="B555" s="54"/>
      <c r="C555" s="19"/>
      <c r="D555" s="20"/>
      <c r="E555" s="179"/>
      <c r="F555" s="179">
        <f t="shared" si="3"/>
        <v>0</v>
      </c>
    </row>
    <row r="556" spans="1:6" s="43" customFormat="1" ht="12.75">
      <c r="A556" s="17" t="s">
        <v>1681</v>
      </c>
      <c r="B556" s="54" t="s">
        <v>3102</v>
      </c>
      <c r="C556" s="19" t="s">
        <v>1561</v>
      </c>
      <c r="D556" s="20">
        <v>108</v>
      </c>
      <c r="E556" s="179">
        <v>45</v>
      </c>
      <c r="F556" s="179">
        <f t="shared" si="3"/>
        <v>4860</v>
      </c>
    </row>
    <row r="557" spans="1:6" s="43" customFormat="1" ht="12.75" customHeight="1">
      <c r="A557" s="17"/>
      <c r="B557" s="54"/>
      <c r="C557" s="19"/>
      <c r="D557" s="20"/>
      <c r="E557" s="179"/>
      <c r="F557" s="179">
        <f t="shared" si="3"/>
        <v>0</v>
      </c>
    </row>
    <row r="558" spans="1:6" s="43" customFormat="1" ht="12.75">
      <c r="A558" s="17" t="s">
        <v>1682</v>
      </c>
      <c r="B558" s="54" t="s">
        <v>1683</v>
      </c>
      <c r="C558" s="19" t="s">
        <v>1561</v>
      </c>
      <c r="D558" s="20">
        <v>30</v>
      </c>
      <c r="E558" s="179">
        <v>150</v>
      </c>
      <c r="F558" s="179">
        <f t="shared" si="3"/>
        <v>4500</v>
      </c>
    </row>
    <row r="559" spans="1:6" s="43" customFormat="1" ht="12.75" customHeight="1">
      <c r="A559" s="187"/>
      <c r="B559" s="54"/>
      <c r="C559" s="19"/>
      <c r="D559" s="20"/>
      <c r="E559" s="179"/>
      <c r="F559" s="179">
        <f t="shared" si="3"/>
        <v>0</v>
      </c>
    </row>
    <row r="560" spans="1:6" s="43" customFormat="1" ht="12.75">
      <c r="A560" s="17" t="s">
        <v>1684</v>
      </c>
      <c r="B560" s="54" t="s">
        <v>1685</v>
      </c>
      <c r="C560" s="19" t="s">
        <v>1561</v>
      </c>
      <c r="D560" s="20">
        <v>102</v>
      </c>
      <c r="E560" s="179">
        <v>60</v>
      </c>
      <c r="F560" s="179">
        <f t="shared" si="3"/>
        <v>6120</v>
      </c>
    </row>
    <row r="561" spans="1:6" s="43" customFormat="1" ht="12.75">
      <c r="A561" s="17"/>
      <c r="B561" s="54"/>
      <c r="C561" s="19"/>
      <c r="D561" s="20"/>
      <c r="E561" s="179"/>
      <c r="F561" s="179">
        <f t="shared" si="3"/>
        <v>0</v>
      </c>
    </row>
    <row r="562" spans="1:6" s="43" customFormat="1" ht="12.75">
      <c r="A562" s="17"/>
      <c r="B562" s="54" t="s">
        <v>1686</v>
      </c>
      <c r="C562" s="19"/>
      <c r="D562" s="20"/>
      <c r="E562" s="179"/>
      <c r="F562" s="179">
        <f t="shared" si="3"/>
        <v>0</v>
      </c>
    </row>
    <row r="563" spans="1:6" s="43" customFormat="1" ht="12" customHeight="1">
      <c r="A563" s="17"/>
      <c r="B563" s="54"/>
      <c r="C563" s="19"/>
      <c r="D563" s="20"/>
      <c r="E563" s="179"/>
      <c r="F563" s="179">
        <f t="shared" si="3"/>
        <v>0</v>
      </c>
    </row>
    <row r="564" spans="1:6" s="43" customFormat="1" ht="14.25" customHeight="1">
      <c r="A564" s="17" t="s">
        <v>1891</v>
      </c>
      <c r="B564" s="54" t="s">
        <v>3103</v>
      </c>
      <c r="C564" s="19"/>
      <c r="D564" s="20"/>
      <c r="E564" s="179"/>
      <c r="F564" s="179">
        <f t="shared" si="3"/>
        <v>0</v>
      </c>
    </row>
    <row r="565" spans="1:6" s="43" customFormat="1" ht="14.25" customHeight="1">
      <c r="A565" s="17"/>
      <c r="B565" s="54" t="s">
        <v>3104</v>
      </c>
      <c r="C565" s="19"/>
      <c r="D565" s="20"/>
      <c r="E565" s="179"/>
      <c r="F565" s="179">
        <f t="shared" si="3"/>
        <v>0</v>
      </c>
    </row>
    <row r="566" spans="1:6" s="43" customFormat="1" ht="15.75">
      <c r="A566" s="17"/>
      <c r="B566" s="54" t="s">
        <v>3105</v>
      </c>
      <c r="C566" s="19" t="s">
        <v>1561</v>
      </c>
      <c r="D566" s="20">
        <v>162</v>
      </c>
      <c r="E566" s="179">
        <f>'Commercial Block'!E823</f>
        <v>153.121377959375</v>
      </c>
      <c r="F566" s="179">
        <f t="shared" si="3"/>
        <v>24805.66322941875</v>
      </c>
    </row>
    <row r="567" spans="1:6" s="43" customFormat="1" ht="12.75" customHeight="1">
      <c r="A567" s="187"/>
      <c r="B567" s="54"/>
      <c r="C567" s="19"/>
      <c r="D567" s="20"/>
      <c r="E567" s="179"/>
      <c r="F567" s="179">
        <f t="shared" si="3"/>
        <v>0</v>
      </c>
    </row>
    <row r="568" spans="1:6" s="43" customFormat="1" ht="12.75">
      <c r="A568" s="17" t="s">
        <v>1892</v>
      </c>
      <c r="B568" s="54" t="s">
        <v>1687</v>
      </c>
      <c r="C568" s="19" t="s">
        <v>1561</v>
      </c>
      <c r="D568" s="20">
        <v>12</v>
      </c>
      <c r="E568" s="179">
        <v>250</v>
      </c>
      <c r="F568" s="179">
        <f t="shared" si="3"/>
        <v>3000</v>
      </c>
    </row>
    <row r="569" spans="1:6" s="43" customFormat="1" ht="12.75" customHeight="1">
      <c r="A569" s="17"/>
      <c r="B569" s="54"/>
      <c r="C569" s="19"/>
      <c r="D569" s="20"/>
      <c r="E569" s="179"/>
      <c r="F569" s="179">
        <f t="shared" si="3"/>
        <v>0</v>
      </c>
    </row>
    <row r="570" spans="1:6" s="43" customFormat="1" ht="25.5">
      <c r="A570" s="17" t="s">
        <v>1893</v>
      </c>
      <c r="B570" s="54" t="s">
        <v>1688</v>
      </c>
      <c r="C570" s="19" t="s">
        <v>1561</v>
      </c>
      <c r="D570" s="20">
        <v>24</v>
      </c>
      <c r="E570" s="179">
        <v>250</v>
      </c>
      <c r="F570" s="179">
        <f t="shared" si="3"/>
        <v>6000</v>
      </c>
    </row>
    <row r="571" spans="1:6" s="43" customFormat="1" ht="12.75" customHeight="1">
      <c r="A571" s="245"/>
      <c r="B571" s="54"/>
      <c r="C571" s="19"/>
      <c r="D571" s="20"/>
      <c r="E571" s="179"/>
      <c r="F571" s="179">
        <f t="shared" si="3"/>
        <v>0</v>
      </c>
    </row>
    <row r="572" spans="1:6" s="43" customFormat="1" ht="38.25">
      <c r="A572" s="17" t="s">
        <v>1894</v>
      </c>
      <c r="B572" s="54" t="s">
        <v>662</v>
      </c>
      <c r="C572" s="19" t="s">
        <v>1561</v>
      </c>
      <c r="D572" s="20">
        <v>18</v>
      </c>
      <c r="E572" s="179">
        <v>220</v>
      </c>
      <c r="F572" s="179">
        <f t="shared" si="3"/>
        <v>3960</v>
      </c>
    </row>
    <row r="573" spans="1:6" s="43" customFormat="1" ht="12.75">
      <c r="A573" s="17"/>
      <c r="B573" s="54"/>
      <c r="C573" s="19"/>
      <c r="D573" s="20"/>
      <c r="E573" s="179"/>
      <c r="F573" s="179">
        <f t="shared" si="3"/>
        <v>0</v>
      </c>
    </row>
    <row r="574" spans="1:6" s="43" customFormat="1" ht="12.75" customHeight="1">
      <c r="A574" s="17" t="s">
        <v>1690</v>
      </c>
      <c r="B574" s="54" t="s">
        <v>1689</v>
      </c>
      <c r="C574" s="19"/>
      <c r="D574" s="20"/>
      <c r="E574" s="179"/>
      <c r="F574" s="179">
        <f t="shared" si="3"/>
        <v>0</v>
      </c>
    </row>
    <row r="575" spans="1:6" s="43" customFormat="1" ht="27">
      <c r="A575" s="17"/>
      <c r="B575" s="54" t="s">
        <v>661</v>
      </c>
      <c r="C575" s="19" t="s">
        <v>1561</v>
      </c>
      <c r="D575" s="20">
        <v>18</v>
      </c>
      <c r="E575" s="179">
        <v>300</v>
      </c>
      <c r="F575" s="179">
        <f t="shared" si="3"/>
        <v>5400</v>
      </c>
    </row>
    <row r="576" spans="1:6" s="43" customFormat="1" ht="12.75" customHeight="1">
      <c r="A576" s="187"/>
      <c r="B576" s="54"/>
      <c r="C576" s="19"/>
      <c r="D576" s="20"/>
      <c r="E576" s="179"/>
      <c r="F576" s="179">
        <f t="shared" si="3"/>
        <v>0</v>
      </c>
    </row>
    <row r="577" spans="1:6" s="43" customFormat="1" ht="12.75">
      <c r="A577" s="17"/>
      <c r="B577" s="54" t="s">
        <v>1895</v>
      </c>
      <c r="C577" s="19"/>
      <c r="D577" s="20"/>
      <c r="E577" s="179"/>
      <c r="F577" s="179">
        <f t="shared" si="3"/>
        <v>0</v>
      </c>
    </row>
    <row r="578" spans="1:6" s="43" customFormat="1" ht="12.75">
      <c r="A578" s="17"/>
      <c r="B578" s="54"/>
      <c r="C578" s="19"/>
      <c r="D578" s="20"/>
      <c r="E578" s="179"/>
      <c r="F578" s="179">
        <f t="shared" si="3"/>
        <v>0</v>
      </c>
    </row>
    <row r="579" spans="1:6" s="43" customFormat="1" ht="13.5" customHeight="1">
      <c r="A579" s="17" t="s">
        <v>882</v>
      </c>
      <c r="B579" s="54" t="s">
        <v>2440</v>
      </c>
      <c r="C579" s="19"/>
      <c r="D579" s="20"/>
      <c r="E579" s="179"/>
      <c r="F579" s="179">
        <f t="shared" si="3"/>
        <v>0</v>
      </c>
    </row>
    <row r="580" spans="1:6" s="43" customFormat="1" ht="12" customHeight="1">
      <c r="A580" s="17"/>
      <c r="B580" s="54" t="s">
        <v>2441</v>
      </c>
      <c r="C580" s="19"/>
      <c r="D580" s="20"/>
      <c r="E580" s="179"/>
      <c r="F580" s="179">
        <f t="shared" si="3"/>
        <v>0</v>
      </c>
    </row>
    <row r="581" spans="1:6" s="43" customFormat="1" ht="14.25" customHeight="1">
      <c r="A581" s="17"/>
      <c r="B581" s="54" t="s">
        <v>2442</v>
      </c>
      <c r="C581" s="19"/>
      <c r="D581" s="20"/>
      <c r="E581" s="179"/>
      <c r="F581" s="179">
        <f t="shared" si="3"/>
        <v>0</v>
      </c>
    </row>
    <row r="582" spans="1:6" s="43" customFormat="1" ht="14.25" customHeight="1">
      <c r="A582" s="17"/>
      <c r="B582" s="54" t="s">
        <v>2443</v>
      </c>
      <c r="C582" s="19" t="s">
        <v>1561</v>
      </c>
      <c r="D582" s="20">
        <v>54</v>
      </c>
      <c r="E582" s="179">
        <v>100</v>
      </c>
      <c r="F582" s="179">
        <f t="shared" si="3"/>
        <v>5400</v>
      </c>
    </row>
    <row r="583" spans="1:6" s="43" customFormat="1" ht="14.25" customHeight="1">
      <c r="A583" s="17"/>
      <c r="B583" s="54"/>
      <c r="C583" s="19"/>
      <c r="D583" s="20"/>
      <c r="E583" s="179"/>
      <c r="F583" s="179">
        <f t="shared" si="3"/>
        <v>0</v>
      </c>
    </row>
    <row r="584" spans="1:6" s="43" customFormat="1" ht="12.75">
      <c r="A584" s="17" t="s">
        <v>774</v>
      </c>
      <c r="B584" s="54" t="s">
        <v>1055</v>
      </c>
      <c r="C584" s="19"/>
      <c r="D584" s="20"/>
      <c r="E584" s="179"/>
      <c r="F584" s="179">
        <f t="shared" si="3"/>
        <v>0</v>
      </c>
    </row>
    <row r="585" spans="1:6" s="43" customFormat="1" ht="12.75">
      <c r="A585" s="245"/>
      <c r="B585" s="54" t="s">
        <v>1056</v>
      </c>
      <c r="C585" s="19" t="s">
        <v>1561</v>
      </c>
      <c r="D585" s="20">
        <v>54</v>
      </c>
      <c r="E585" s="179">
        <v>60</v>
      </c>
      <c r="F585" s="179">
        <f t="shared" si="3"/>
        <v>3240</v>
      </c>
    </row>
    <row r="586" spans="1:6" s="43" customFormat="1" ht="12.75">
      <c r="A586" s="17"/>
      <c r="B586" s="54"/>
      <c r="C586" s="19"/>
      <c r="D586" s="20"/>
      <c r="E586" s="179"/>
      <c r="F586" s="179">
        <f t="shared" si="3"/>
        <v>0</v>
      </c>
    </row>
    <row r="587" spans="1:6" s="43" customFormat="1" ht="12.75">
      <c r="A587" s="17" t="s">
        <v>775</v>
      </c>
      <c r="B587" s="54" t="s">
        <v>2866</v>
      </c>
      <c r="C587" s="19"/>
      <c r="D587" s="20"/>
      <c r="E587" s="179"/>
      <c r="F587" s="179">
        <f t="shared" si="3"/>
        <v>0</v>
      </c>
    </row>
    <row r="588" spans="1:6" s="43" customFormat="1" ht="12.75">
      <c r="A588" s="187"/>
      <c r="B588" s="54" t="s">
        <v>1060</v>
      </c>
      <c r="C588" s="19" t="s">
        <v>1561</v>
      </c>
      <c r="D588" s="20">
        <v>6</v>
      </c>
      <c r="E588" s="179">
        <f>'Commercial Block'!E851</f>
        <v>300</v>
      </c>
      <c r="F588" s="179">
        <f t="shared" si="3"/>
        <v>1800</v>
      </c>
    </row>
    <row r="589" spans="1:6" s="43" customFormat="1" ht="12.75">
      <c r="A589" s="17"/>
      <c r="B589" s="54"/>
      <c r="C589" s="19"/>
      <c r="D589" s="20"/>
      <c r="E589" s="179"/>
      <c r="F589" s="179">
        <f t="shared" si="3"/>
        <v>0</v>
      </c>
    </row>
    <row r="590" spans="1:6" s="43" customFormat="1" ht="12.75" customHeight="1">
      <c r="A590" s="17"/>
      <c r="B590" s="54" t="s">
        <v>660</v>
      </c>
      <c r="C590" s="19"/>
      <c r="D590" s="20"/>
      <c r="E590" s="179"/>
      <c r="F590" s="179">
        <f t="shared" si="3"/>
        <v>0</v>
      </c>
    </row>
    <row r="591" spans="1:6" s="43" customFormat="1" ht="12.75">
      <c r="A591" s="17"/>
      <c r="B591" s="54"/>
      <c r="C591" s="19"/>
      <c r="D591" s="20"/>
      <c r="E591" s="179"/>
      <c r="F591" s="179">
        <f t="shared" si="3"/>
        <v>0</v>
      </c>
    </row>
    <row r="592" spans="1:6" s="43" customFormat="1" ht="12.75" customHeight="1">
      <c r="A592" s="187"/>
      <c r="B592" s="54" t="s">
        <v>566</v>
      </c>
      <c r="C592" s="19"/>
      <c r="D592" s="20"/>
      <c r="E592" s="179"/>
      <c r="F592" s="179">
        <f t="shared" si="3"/>
        <v>0</v>
      </c>
    </row>
    <row r="593" spans="1:6" s="43" customFormat="1" ht="12.75">
      <c r="A593" s="17"/>
      <c r="B593" s="54" t="s">
        <v>2571</v>
      </c>
      <c r="C593" s="19"/>
      <c r="D593" s="20"/>
      <c r="E593" s="179"/>
      <c r="F593" s="179">
        <f t="shared" si="3"/>
        <v>0</v>
      </c>
    </row>
    <row r="594" spans="1:6" s="43" customFormat="1" ht="25.5">
      <c r="A594" s="17" t="s">
        <v>1908</v>
      </c>
      <c r="B594" s="54" t="s">
        <v>2576</v>
      </c>
      <c r="C594" s="19"/>
      <c r="D594" s="20"/>
      <c r="E594" s="179"/>
      <c r="F594" s="179">
        <f t="shared" si="3"/>
        <v>0</v>
      </c>
    </row>
    <row r="595" spans="1:6" s="43" customFormat="1" ht="12.75">
      <c r="A595" s="17"/>
      <c r="B595" s="54" t="s">
        <v>2577</v>
      </c>
      <c r="C595" s="19" t="s">
        <v>1561</v>
      </c>
      <c r="D595" s="20">
        <v>28</v>
      </c>
      <c r="E595" s="179">
        <v>750</v>
      </c>
      <c r="F595" s="179">
        <f t="shared" si="3"/>
        <v>21000</v>
      </c>
    </row>
    <row r="596" spans="1:6" s="43" customFormat="1" ht="12" customHeight="1">
      <c r="A596" s="17"/>
      <c r="B596" s="54"/>
      <c r="C596" s="19"/>
      <c r="D596" s="20"/>
      <c r="E596" s="179"/>
      <c r="F596" s="179">
        <f t="shared" si="3"/>
        <v>0</v>
      </c>
    </row>
    <row r="597" spans="1:6" s="43" customFormat="1" ht="12.75">
      <c r="A597" s="17" t="s">
        <v>1909</v>
      </c>
      <c r="B597" s="54" t="s">
        <v>2867</v>
      </c>
      <c r="C597" s="19"/>
      <c r="D597" s="20"/>
      <c r="E597" s="179"/>
      <c r="F597" s="179">
        <f t="shared" si="3"/>
        <v>0</v>
      </c>
    </row>
    <row r="598" spans="1:6" s="43" customFormat="1" ht="14.25" customHeight="1">
      <c r="A598" s="17"/>
      <c r="B598" s="54" t="s">
        <v>2579</v>
      </c>
      <c r="C598" s="19" t="s">
        <v>1561</v>
      </c>
      <c r="D598" s="20">
        <v>12</v>
      </c>
      <c r="E598" s="179">
        <v>380</v>
      </c>
      <c r="F598" s="179">
        <f t="shared" si="3"/>
        <v>4560</v>
      </c>
    </row>
    <row r="599" spans="1:6" s="43" customFormat="1" ht="12.75">
      <c r="A599" s="17"/>
      <c r="B599" s="54"/>
      <c r="C599" s="19"/>
      <c r="D599" s="20"/>
      <c r="E599" s="179"/>
      <c r="F599" s="179">
        <f t="shared" si="3"/>
        <v>0</v>
      </c>
    </row>
    <row r="600" spans="1:6" s="43" customFormat="1" ht="12.75" customHeight="1">
      <c r="A600" s="187" t="s">
        <v>1910</v>
      </c>
      <c r="B600" s="54" t="s">
        <v>2580</v>
      </c>
      <c r="C600" s="19"/>
      <c r="D600" s="20"/>
      <c r="E600" s="179"/>
      <c r="F600" s="179">
        <f t="shared" si="3"/>
        <v>0</v>
      </c>
    </row>
    <row r="601" spans="1:6" s="43" customFormat="1" ht="12.75">
      <c r="A601" s="17"/>
      <c r="B601" s="54" t="s">
        <v>2579</v>
      </c>
      <c r="C601" s="19" t="s">
        <v>1561</v>
      </c>
      <c r="D601" s="20">
        <v>15</v>
      </c>
      <c r="E601" s="179">
        <v>280</v>
      </c>
      <c r="F601" s="179">
        <f t="shared" si="3"/>
        <v>4200</v>
      </c>
    </row>
    <row r="602" spans="1:6" s="43" customFormat="1" ht="12.75" customHeight="1">
      <c r="A602" s="17"/>
      <c r="B602" s="54"/>
      <c r="C602" s="19"/>
      <c r="D602" s="20"/>
      <c r="E602" s="179"/>
      <c r="F602" s="179">
        <f t="shared" si="3"/>
        <v>0</v>
      </c>
    </row>
    <row r="603" spans="1:6" s="43" customFormat="1" ht="25.5">
      <c r="A603" s="17" t="s">
        <v>1911</v>
      </c>
      <c r="B603" s="54" t="s">
        <v>1896</v>
      </c>
      <c r="C603" s="19" t="s">
        <v>1561</v>
      </c>
      <c r="D603" s="20">
        <v>1</v>
      </c>
      <c r="E603" s="179">
        <v>650</v>
      </c>
      <c r="F603" s="179">
        <f t="shared" si="3"/>
        <v>650</v>
      </c>
    </row>
    <row r="604" spans="1:6" s="43" customFormat="1" ht="12.75" customHeight="1">
      <c r="A604" s="245"/>
      <c r="B604" s="54"/>
      <c r="C604" s="19"/>
      <c r="D604" s="20"/>
      <c r="E604" s="179"/>
      <c r="F604" s="179">
        <f t="shared" si="3"/>
        <v>0</v>
      </c>
    </row>
    <row r="605" spans="1:6" s="43" customFormat="1" ht="12.75">
      <c r="A605" s="17" t="s">
        <v>1912</v>
      </c>
      <c r="B605" s="54" t="s">
        <v>1897</v>
      </c>
      <c r="C605" s="19"/>
      <c r="D605" s="20"/>
      <c r="E605" s="179"/>
      <c r="F605" s="179">
        <f t="shared" si="3"/>
        <v>0</v>
      </c>
    </row>
    <row r="606" spans="1:6" s="43" customFormat="1" ht="12.75">
      <c r="A606" s="17"/>
      <c r="B606" s="54" t="s">
        <v>2573</v>
      </c>
      <c r="C606" s="19" t="s">
        <v>1561</v>
      </c>
      <c r="D606" s="20">
        <v>12</v>
      </c>
      <c r="E606" s="179">
        <v>450</v>
      </c>
      <c r="F606" s="179">
        <f t="shared" si="3"/>
        <v>5400</v>
      </c>
    </row>
    <row r="607" spans="1:6" s="43" customFormat="1" ht="12.75">
      <c r="A607" s="187"/>
      <c r="B607" s="54"/>
      <c r="C607" s="19"/>
      <c r="D607" s="20"/>
      <c r="E607" s="179"/>
      <c r="F607" s="179">
        <f t="shared" si="3"/>
        <v>0</v>
      </c>
    </row>
    <row r="608" spans="1:6" s="43" customFormat="1" ht="12.75">
      <c r="A608" s="17" t="s">
        <v>1913</v>
      </c>
      <c r="B608" s="54" t="s">
        <v>2868</v>
      </c>
      <c r="C608" s="19"/>
      <c r="D608" s="20"/>
      <c r="E608" s="179"/>
      <c r="F608" s="179">
        <f t="shared" si="3"/>
        <v>0</v>
      </c>
    </row>
    <row r="609" spans="1:6" s="43" customFormat="1" ht="12.75" customHeight="1">
      <c r="A609" s="17"/>
      <c r="B609" s="54" t="s">
        <v>2573</v>
      </c>
      <c r="C609" s="19" t="s">
        <v>1561</v>
      </c>
      <c r="D609" s="20">
        <v>18</v>
      </c>
      <c r="E609" s="179">
        <v>1800</v>
      </c>
      <c r="F609" s="179">
        <f t="shared" si="3"/>
        <v>32400</v>
      </c>
    </row>
    <row r="610" spans="1:6" s="43" customFormat="1" ht="12.75">
      <c r="A610" s="17"/>
      <c r="B610" s="54"/>
      <c r="C610" s="19"/>
      <c r="D610" s="20"/>
      <c r="E610" s="179"/>
      <c r="F610" s="179">
        <f t="shared" si="3"/>
        <v>0</v>
      </c>
    </row>
    <row r="611" spans="1:6" s="43" customFormat="1" ht="12.75" customHeight="1">
      <c r="A611" s="187" t="s">
        <v>1914</v>
      </c>
      <c r="B611" s="54" t="s">
        <v>2869</v>
      </c>
      <c r="C611" s="19"/>
      <c r="D611" s="20"/>
      <c r="E611" s="179"/>
      <c r="F611" s="179">
        <f t="shared" si="3"/>
        <v>0</v>
      </c>
    </row>
    <row r="612" spans="1:6" s="43" customFormat="1" ht="12.75">
      <c r="A612" s="17"/>
      <c r="B612" s="54" t="s">
        <v>2573</v>
      </c>
      <c r="C612" s="19" t="s">
        <v>1561</v>
      </c>
      <c r="D612" s="20">
        <v>59</v>
      </c>
      <c r="E612" s="179">
        <v>350</v>
      </c>
      <c r="F612" s="179">
        <f t="shared" si="3"/>
        <v>20650</v>
      </c>
    </row>
    <row r="613" spans="1:6" s="43" customFormat="1" ht="12.75">
      <c r="A613" s="17"/>
      <c r="B613" s="54"/>
      <c r="C613" s="19"/>
      <c r="D613" s="20"/>
      <c r="E613" s="179"/>
      <c r="F613" s="179">
        <f t="shared" si="3"/>
        <v>0</v>
      </c>
    </row>
    <row r="614" spans="1:6" s="43" customFormat="1" ht="25.5">
      <c r="A614" s="17" t="s">
        <v>1915</v>
      </c>
      <c r="B614" s="54" t="s">
        <v>2870</v>
      </c>
      <c r="C614" s="19" t="s">
        <v>1561</v>
      </c>
      <c r="D614" s="20">
        <v>24</v>
      </c>
      <c r="E614" s="179">
        <v>450</v>
      </c>
      <c r="F614" s="179">
        <f t="shared" si="3"/>
        <v>10800</v>
      </c>
    </row>
    <row r="615" spans="1:6" s="43" customFormat="1" ht="12" customHeight="1">
      <c r="A615" s="17"/>
      <c r="B615" s="54"/>
      <c r="C615" s="19"/>
      <c r="D615" s="20"/>
      <c r="E615" s="179"/>
      <c r="F615" s="179">
        <f aca="true" t="shared" si="4" ref="F615:F678">D615*E615</f>
        <v>0</v>
      </c>
    </row>
    <row r="616" spans="1:6" s="43" customFormat="1" ht="12.75">
      <c r="A616" s="17" t="s">
        <v>1916</v>
      </c>
      <c r="B616" s="54" t="s">
        <v>2081</v>
      </c>
      <c r="C616" s="19"/>
      <c r="D616" s="20"/>
      <c r="E616" s="179"/>
      <c r="F616" s="179">
        <f t="shared" si="4"/>
        <v>0</v>
      </c>
    </row>
    <row r="617" spans="1:6" s="43" customFormat="1" ht="14.25" customHeight="1">
      <c r="A617" s="17"/>
      <c r="B617" s="54" t="s">
        <v>2573</v>
      </c>
      <c r="C617" s="19" t="s">
        <v>1561</v>
      </c>
      <c r="D617" s="20">
        <v>36</v>
      </c>
      <c r="E617" s="179">
        <v>250</v>
      </c>
      <c r="F617" s="179">
        <f t="shared" si="4"/>
        <v>9000</v>
      </c>
    </row>
    <row r="618" spans="1:6" s="43" customFormat="1" ht="12.75">
      <c r="A618" s="17"/>
      <c r="B618" s="54"/>
      <c r="C618" s="19"/>
      <c r="D618" s="20"/>
      <c r="E618" s="179"/>
      <c r="F618" s="179">
        <f t="shared" si="4"/>
        <v>0</v>
      </c>
    </row>
    <row r="619" spans="1:6" s="43" customFormat="1" ht="12.75" customHeight="1">
      <c r="A619" s="187" t="s">
        <v>1917</v>
      </c>
      <c r="B619" s="54" t="s">
        <v>2082</v>
      </c>
      <c r="C619" s="19"/>
      <c r="D619" s="20"/>
      <c r="E619" s="179"/>
      <c r="F619" s="179">
        <f t="shared" si="4"/>
        <v>0</v>
      </c>
    </row>
    <row r="620" spans="1:6" s="43" customFormat="1" ht="12.75">
      <c r="A620" s="17"/>
      <c r="B620" s="54" t="s">
        <v>1056</v>
      </c>
      <c r="C620" s="19" t="s">
        <v>1561</v>
      </c>
      <c r="D620" s="20">
        <v>24</v>
      </c>
      <c r="E620" s="179">
        <v>450</v>
      </c>
      <c r="F620" s="179">
        <f t="shared" si="4"/>
        <v>10800</v>
      </c>
    </row>
    <row r="621" spans="1:6" s="43" customFormat="1" ht="12.75" customHeight="1">
      <c r="A621" s="17"/>
      <c r="B621" s="54"/>
      <c r="C621" s="19"/>
      <c r="D621" s="20"/>
      <c r="E621" s="179"/>
      <c r="F621" s="179">
        <f t="shared" si="4"/>
        <v>0</v>
      </c>
    </row>
    <row r="622" spans="1:6" s="43" customFormat="1" ht="25.5">
      <c r="A622" s="17" t="s">
        <v>1918</v>
      </c>
      <c r="B622" s="54" t="s">
        <v>2083</v>
      </c>
      <c r="C622" s="19" t="s">
        <v>1561</v>
      </c>
      <c r="D622" s="20">
        <v>24</v>
      </c>
      <c r="E622" s="179">
        <v>520</v>
      </c>
      <c r="F622" s="179">
        <f t="shared" si="4"/>
        <v>12480</v>
      </c>
    </row>
    <row r="623" spans="1:6" s="43" customFormat="1" ht="12.75" customHeight="1">
      <c r="A623" s="245"/>
      <c r="B623" s="54"/>
      <c r="C623" s="19"/>
      <c r="D623" s="20"/>
      <c r="E623" s="179"/>
      <c r="F623" s="179">
        <f t="shared" si="4"/>
        <v>0</v>
      </c>
    </row>
    <row r="624" spans="1:6" s="43" customFormat="1" ht="25.5">
      <c r="A624" s="17" t="s">
        <v>2084</v>
      </c>
      <c r="B624" s="54" t="s">
        <v>2085</v>
      </c>
      <c r="C624" s="19" t="s">
        <v>1561</v>
      </c>
      <c r="D624" s="20">
        <v>24</v>
      </c>
      <c r="E624" s="179">
        <v>450</v>
      </c>
      <c r="F624" s="179">
        <f t="shared" si="4"/>
        <v>10800</v>
      </c>
    </row>
    <row r="625" spans="1:6" s="43" customFormat="1" ht="12.75">
      <c r="A625" s="17"/>
      <c r="B625" s="54"/>
      <c r="C625" s="19"/>
      <c r="D625" s="20"/>
      <c r="E625" s="179"/>
      <c r="F625" s="179">
        <f t="shared" si="4"/>
        <v>0</v>
      </c>
    </row>
    <row r="626" spans="1:6" s="43" customFormat="1" ht="12.75">
      <c r="A626" s="187" t="s">
        <v>2086</v>
      </c>
      <c r="B626" s="54" t="s">
        <v>2087</v>
      </c>
      <c r="C626" s="19"/>
      <c r="D626" s="20"/>
      <c r="E626" s="179"/>
      <c r="F626" s="179">
        <f t="shared" si="4"/>
        <v>0</v>
      </c>
    </row>
    <row r="627" spans="1:6" s="43" customFormat="1" ht="12.75">
      <c r="A627" s="17"/>
      <c r="B627" s="54" t="s">
        <v>2573</v>
      </c>
      <c r="C627" s="19" t="s">
        <v>1561</v>
      </c>
      <c r="D627" s="20">
        <v>18</v>
      </c>
      <c r="E627" s="179">
        <v>400</v>
      </c>
      <c r="F627" s="179">
        <f t="shared" si="4"/>
        <v>7200</v>
      </c>
    </row>
    <row r="628" spans="1:6" s="43" customFormat="1" ht="12.75">
      <c r="A628" s="17"/>
      <c r="B628" s="54"/>
      <c r="C628" s="19"/>
      <c r="D628" s="20"/>
      <c r="E628" s="179"/>
      <c r="F628" s="179">
        <f t="shared" si="4"/>
        <v>0</v>
      </c>
    </row>
    <row r="629" spans="1:6" s="43" customFormat="1" ht="25.5">
      <c r="A629" s="17" t="s">
        <v>2088</v>
      </c>
      <c r="B629" s="54" t="s">
        <v>2089</v>
      </c>
      <c r="C629" s="19"/>
      <c r="D629" s="20"/>
      <c r="E629" s="179"/>
      <c r="F629" s="179">
        <f t="shared" si="4"/>
        <v>0</v>
      </c>
    </row>
    <row r="630" spans="1:6" s="43" customFormat="1" ht="12.75">
      <c r="A630" s="17"/>
      <c r="B630" s="54" t="s">
        <v>2090</v>
      </c>
      <c r="C630" s="19" t="s">
        <v>1561</v>
      </c>
      <c r="D630" s="20">
        <v>18</v>
      </c>
      <c r="E630" s="179">
        <v>950</v>
      </c>
      <c r="F630" s="179">
        <f t="shared" si="4"/>
        <v>17100</v>
      </c>
    </row>
    <row r="631" spans="1:6" s="43" customFormat="1" ht="12" customHeight="1">
      <c r="A631" s="17"/>
      <c r="B631" s="54"/>
      <c r="C631" s="19"/>
      <c r="D631" s="20"/>
      <c r="E631" s="179"/>
      <c r="F631" s="179">
        <f t="shared" si="4"/>
        <v>0</v>
      </c>
    </row>
    <row r="632" spans="1:6" s="43" customFormat="1" ht="25.5">
      <c r="A632" s="17" t="s">
        <v>2091</v>
      </c>
      <c r="B632" s="54" t="s">
        <v>659</v>
      </c>
      <c r="C632" s="19" t="s">
        <v>1561</v>
      </c>
      <c r="D632" s="20">
        <v>6</v>
      </c>
      <c r="E632" s="179">
        <f>'Commercial Block'!E882</f>
        <v>850</v>
      </c>
      <c r="F632" s="179">
        <f t="shared" si="4"/>
        <v>5100</v>
      </c>
    </row>
    <row r="633" spans="1:6" s="43" customFormat="1" ht="14.25" customHeight="1">
      <c r="A633" s="17"/>
      <c r="B633" s="54"/>
      <c r="E633" s="179"/>
      <c r="F633" s="179">
        <f t="shared" si="4"/>
        <v>0</v>
      </c>
    </row>
    <row r="634" spans="1:6" s="43" customFormat="1" ht="12.75" customHeight="1">
      <c r="A634" s="187" t="s">
        <v>2092</v>
      </c>
      <c r="B634" s="54" t="s">
        <v>2093</v>
      </c>
      <c r="C634" s="19"/>
      <c r="D634" s="20"/>
      <c r="E634" s="179"/>
      <c r="F634" s="179">
        <f t="shared" si="4"/>
        <v>0</v>
      </c>
    </row>
    <row r="635" spans="1:6" s="43" customFormat="1" ht="12.75">
      <c r="A635" s="17"/>
      <c r="B635" s="54" t="s">
        <v>2573</v>
      </c>
      <c r="C635" s="19" t="s">
        <v>1561</v>
      </c>
      <c r="D635" s="20">
        <v>2</v>
      </c>
      <c r="E635" s="179">
        <v>450</v>
      </c>
      <c r="F635" s="179">
        <f t="shared" si="4"/>
        <v>900</v>
      </c>
    </row>
    <row r="636" spans="1:6" s="43" customFormat="1" ht="12.75" customHeight="1">
      <c r="A636" s="17"/>
      <c r="B636" s="54"/>
      <c r="C636" s="19"/>
      <c r="D636" s="20"/>
      <c r="E636" s="179"/>
      <c r="F636" s="179">
        <f t="shared" si="4"/>
        <v>0</v>
      </c>
    </row>
    <row r="637" spans="1:6" s="43" customFormat="1" ht="12.75">
      <c r="A637" s="17"/>
      <c r="B637" s="54" t="s">
        <v>2094</v>
      </c>
      <c r="C637" s="19"/>
      <c r="D637" s="20"/>
      <c r="E637" s="179"/>
      <c r="F637" s="179">
        <f t="shared" si="4"/>
        <v>0</v>
      </c>
    </row>
    <row r="638" spans="1:6" s="43" customFormat="1" ht="12.75">
      <c r="A638" s="17"/>
      <c r="B638" s="54"/>
      <c r="C638" s="19"/>
      <c r="D638" s="20"/>
      <c r="E638" s="179"/>
      <c r="F638" s="179">
        <f t="shared" si="4"/>
        <v>0</v>
      </c>
    </row>
    <row r="639" spans="1:6" s="43" customFormat="1" ht="12.75" customHeight="1">
      <c r="A639" s="245" t="s">
        <v>1920</v>
      </c>
      <c r="B639" s="54" t="s">
        <v>2095</v>
      </c>
      <c r="C639" s="19"/>
      <c r="D639" s="20"/>
      <c r="E639" s="179"/>
      <c r="F639" s="179">
        <f t="shared" si="4"/>
        <v>0</v>
      </c>
    </row>
    <row r="640" spans="1:6" s="43" customFormat="1" ht="12.75">
      <c r="A640" s="17"/>
      <c r="B640" s="54" t="s">
        <v>2096</v>
      </c>
      <c r="C640" s="19"/>
      <c r="D640" s="20"/>
      <c r="E640" s="179"/>
      <c r="F640" s="179">
        <f t="shared" si="4"/>
        <v>0</v>
      </c>
    </row>
    <row r="641" spans="1:6" s="43" customFormat="1" ht="12.75">
      <c r="A641" s="17"/>
      <c r="B641" s="54" t="s">
        <v>2097</v>
      </c>
      <c r="C641" s="19"/>
      <c r="D641" s="20"/>
      <c r="E641" s="179"/>
      <c r="F641" s="179">
        <f t="shared" si="4"/>
        <v>0</v>
      </c>
    </row>
    <row r="642" spans="1:6" s="43" customFormat="1" ht="12.75">
      <c r="A642" s="187"/>
      <c r="B642" s="54" t="s">
        <v>2098</v>
      </c>
      <c r="C642" s="19" t="s">
        <v>1561</v>
      </c>
      <c r="D642" s="20">
        <v>21</v>
      </c>
      <c r="E642" s="179">
        <v>160</v>
      </c>
      <c r="F642" s="179">
        <f t="shared" si="4"/>
        <v>3360</v>
      </c>
    </row>
    <row r="643" spans="1:6" s="43" customFormat="1" ht="8.25" customHeight="1">
      <c r="A643" s="17"/>
      <c r="B643" s="54"/>
      <c r="C643" s="19"/>
      <c r="D643" s="20"/>
      <c r="E643" s="179"/>
      <c r="F643" s="179">
        <f t="shared" si="4"/>
        <v>0</v>
      </c>
    </row>
    <row r="644" spans="1:6" s="43" customFormat="1" ht="12.75" customHeight="1">
      <c r="A644" s="17" t="s">
        <v>1921</v>
      </c>
      <c r="B644" s="54" t="s">
        <v>763</v>
      </c>
      <c r="C644" s="19"/>
      <c r="D644" s="20"/>
      <c r="E644" s="179"/>
      <c r="F644" s="179">
        <f t="shared" si="4"/>
        <v>0</v>
      </c>
    </row>
    <row r="645" spans="1:6" s="43" customFormat="1" ht="12.75">
      <c r="A645" s="17"/>
      <c r="B645" s="54" t="s">
        <v>1056</v>
      </c>
      <c r="C645" s="19" t="s">
        <v>1561</v>
      </c>
      <c r="D645" s="20">
        <v>21</v>
      </c>
      <c r="E645" s="179">
        <v>75</v>
      </c>
      <c r="F645" s="179">
        <f t="shared" si="4"/>
        <v>1575</v>
      </c>
    </row>
    <row r="646" spans="1:6" s="43" customFormat="1" ht="12.75" customHeight="1">
      <c r="A646" s="187"/>
      <c r="B646" s="54"/>
      <c r="C646" s="19"/>
      <c r="D646" s="20"/>
      <c r="E646" s="179"/>
      <c r="F646" s="179">
        <f t="shared" si="4"/>
        <v>0</v>
      </c>
    </row>
    <row r="647" spans="1:6" s="43" customFormat="1" ht="12.75">
      <c r="A647" s="17" t="s">
        <v>1922</v>
      </c>
      <c r="B647" s="54" t="s">
        <v>2099</v>
      </c>
      <c r="C647" s="19"/>
      <c r="D647" s="20"/>
      <c r="E647" s="179"/>
      <c r="F647" s="179">
        <f t="shared" si="4"/>
        <v>0</v>
      </c>
    </row>
    <row r="648" spans="1:6" s="43" customFormat="1" ht="12.75">
      <c r="A648" s="17"/>
      <c r="B648" s="54" t="s">
        <v>64</v>
      </c>
      <c r="C648" s="19" t="s">
        <v>1561</v>
      </c>
      <c r="D648" s="20">
        <v>6</v>
      </c>
      <c r="E648" s="179">
        <v>350</v>
      </c>
      <c r="F648" s="179">
        <f t="shared" si="4"/>
        <v>2100</v>
      </c>
    </row>
    <row r="649" spans="1:6" s="43" customFormat="1" ht="6" customHeight="1">
      <c r="A649" s="17"/>
      <c r="B649" s="54"/>
      <c r="C649" s="19"/>
      <c r="D649" s="20"/>
      <c r="E649" s="179"/>
      <c r="F649" s="179">
        <f t="shared" si="4"/>
        <v>0</v>
      </c>
    </row>
    <row r="650" spans="1:6" s="43" customFormat="1" ht="12" customHeight="1">
      <c r="A650" s="17"/>
      <c r="B650" s="54" t="s">
        <v>65</v>
      </c>
      <c r="C650" s="19"/>
      <c r="D650" s="20"/>
      <c r="E650" s="179"/>
      <c r="F650" s="179">
        <f t="shared" si="4"/>
        <v>0</v>
      </c>
    </row>
    <row r="651" spans="1:6" s="43" customFormat="1" ht="6" customHeight="1">
      <c r="A651" s="17"/>
      <c r="B651" s="54"/>
      <c r="C651" s="19"/>
      <c r="D651" s="20"/>
      <c r="E651" s="179"/>
      <c r="F651" s="179">
        <f t="shared" si="4"/>
        <v>0</v>
      </c>
    </row>
    <row r="652" spans="1:6" s="43" customFormat="1" ht="12.75">
      <c r="A652" s="17"/>
      <c r="B652" s="54" t="s">
        <v>66</v>
      </c>
      <c r="C652" s="19"/>
      <c r="D652" s="20"/>
      <c r="E652" s="179"/>
      <c r="F652" s="179">
        <f t="shared" si="4"/>
        <v>0</v>
      </c>
    </row>
    <row r="653" spans="1:6" s="43" customFormat="1" ht="14.25" customHeight="1">
      <c r="A653" s="17" t="s">
        <v>182</v>
      </c>
      <c r="B653" s="54" t="s">
        <v>603</v>
      </c>
      <c r="C653" s="19" t="s">
        <v>2557</v>
      </c>
      <c r="D653" s="20">
        <v>6</v>
      </c>
      <c r="E653" s="179">
        <v>75</v>
      </c>
      <c r="F653" s="179">
        <f t="shared" si="4"/>
        <v>450</v>
      </c>
    </row>
    <row r="654" spans="1:6" s="43" customFormat="1" ht="12.75">
      <c r="A654" s="17"/>
      <c r="B654" s="54"/>
      <c r="C654" s="19"/>
      <c r="D654" s="20"/>
      <c r="E654" s="179"/>
      <c r="F654" s="179">
        <f t="shared" si="4"/>
        <v>0</v>
      </c>
    </row>
    <row r="655" spans="1:6" s="43" customFormat="1" ht="12.75" customHeight="1">
      <c r="A655" s="187" t="s">
        <v>183</v>
      </c>
      <c r="B655" s="54" t="s">
        <v>604</v>
      </c>
      <c r="C655" s="19" t="s">
        <v>2557</v>
      </c>
      <c r="D655" s="20">
        <v>15</v>
      </c>
      <c r="E655" s="179">
        <v>52</v>
      </c>
      <c r="F655" s="179">
        <f t="shared" si="4"/>
        <v>780</v>
      </c>
    </row>
    <row r="656" spans="1:6" s="43" customFormat="1" ht="12.75">
      <c r="A656" s="17"/>
      <c r="B656" s="54"/>
      <c r="C656" s="19"/>
      <c r="D656" s="20"/>
      <c r="E656" s="179"/>
      <c r="F656" s="179">
        <f t="shared" si="4"/>
        <v>0</v>
      </c>
    </row>
    <row r="657" spans="1:6" s="43" customFormat="1" ht="12.75" customHeight="1">
      <c r="A657" s="17" t="s">
        <v>184</v>
      </c>
      <c r="B657" s="54" t="s">
        <v>605</v>
      </c>
      <c r="C657" s="19" t="s">
        <v>2557</v>
      </c>
      <c r="D657" s="20">
        <v>15</v>
      </c>
      <c r="E657" s="179">
        <v>70</v>
      </c>
      <c r="F657" s="179">
        <f t="shared" si="4"/>
        <v>1050</v>
      </c>
    </row>
    <row r="658" spans="1:6" s="43" customFormat="1" ht="9" customHeight="1">
      <c r="A658" s="17"/>
      <c r="B658" s="54"/>
      <c r="C658" s="19"/>
      <c r="D658" s="20"/>
      <c r="E658" s="179"/>
      <c r="F658" s="179">
        <f t="shared" si="4"/>
        <v>0</v>
      </c>
    </row>
    <row r="659" spans="1:6" s="43" customFormat="1" ht="12.75" customHeight="1">
      <c r="A659" s="245" t="s">
        <v>185</v>
      </c>
      <c r="B659" s="54" t="s">
        <v>606</v>
      </c>
      <c r="C659" s="19" t="s">
        <v>2557</v>
      </c>
      <c r="D659" s="20">
        <v>25</v>
      </c>
      <c r="E659" s="179">
        <v>70</v>
      </c>
      <c r="F659" s="179">
        <f t="shared" si="4"/>
        <v>1750</v>
      </c>
    </row>
    <row r="660" spans="1:6" s="43" customFormat="1" ht="12.75">
      <c r="A660" s="17"/>
      <c r="B660" s="54"/>
      <c r="C660" s="19"/>
      <c r="D660" s="20"/>
      <c r="E660" s="179"/>
      <c r="F660" s="179">
        <f t="shared" si="4"/>
        <v>0</v>
      </c>
    </row>
    <row r="661" spans="1:6" s="43" customFormat="1" ht="14.25">
      <c r="A661" s="17" t="s">
        <v>607</v>
      </c>
      <c r="B661" s="54" t="s">
        <v>608</v>
      </c>
      <c r="C661" s="19" t="s">
        <v>2557</v>
      </c>
      <c r="D661" s="20">
        <v>20</v>
      </c>
      <c r="E661" s="179">
        <v>52</v>
      </c>
      <c r="F661" s="179">
        <f t="shared" si="4"/>
        <v>1040</v>
      </c>
    </row>
    <row r="662" spans="1:6" s="43" customFormat="1" ht="12.75">
      <c r="A662" s="187"/>
      <c r="B662" s="54"/>
      <c r="C662" s="19"/>
      <c r="D662" s="20"/>
      <c r="E662" s="179"/>
      <c r="F662" s="179">
        <f t="shared" si="4"/>
        <v>0</v>
      </c>
    </row>
    <row r="663" spans="1:6" s="43" customFormat="1" ht="14.25">
      <c r="A663" s="17" t="s">
        <v>609</v>
      </c>
      <c r="B663" s="54" t="s">
        <v>610</v>
      </c>
      <c r="C663" s="19" t="s">
        <v>2557</v>
      </c>
      <c r="D663" s="20">
        <v>20</v>
      </c>
      <c r="E663" s="179">
        <v>70</v>
      </c>
      <c r="F663" s="179">
        <f t="shared" si="4"/>
        <v>1400</v>
      </c>
    </row>
    <row r="664" spans="1:6" s="43" customFormat="1" ht="12.75" customHeight="1">
      <c r="A664" s="17"/>
      <c r="B664" s="54"/>
      <c r="C664" s="19"/>
      <c r="D664" s="20"/>
      <c r="E664" s="179"/>
      <c r="F664" s="179">
        <f t="shared" si="4"/>
        <v>0</v>
      </c>
    </row>
    <row r="665" spans="1:6" s="43" customFormat="1" ht="14.25">
      <c r="A665" s="17" t="s">
        <v>611</v>
      </c>
      <c r="B665" s="54" t="s">
        <v>612</v>
      </c>
      <c r="C665" s="19" t="s">
        <v>2557</v>
      </c>
      <c r="D665" s="20">
        <v>30</v>
      </c>
      <c r="E665" s="179">
        <v>70</v>
      </c>
      <c r="F665" s="179">
        <f t="shared" si="4"/>
        <v>2100</v>
      </c>
    </row>
    <row r="666" spans="1:6" s="43" customFormat="1" ht="12.75" customHeight="1">
      <c r="A666" s="187"/>
      <c r="B666" s="54"/>
      <c r="C666" s="19"/>
      <c r="D666" s="20"/>
      <c r="E666" s="179"/>
      <c r="F666" s="179">
        <f t="shared" si="4"/>
        <v>0</v>
      </c>
    </row>
    <row r="667" spans="1:6" s="43" customFormat="1" ht="14.25">
      <c r="A667" s="17" t="s">
        <v>613</v>
      </c>
      <c r="B667" s="54" t="s">
        <v>1534</v>
      </c>
      <c r="C667" s="19" t="s">
        <v>2557</v>
      </c>
      <c r="D667" s="20">
        <v>25</v>
      </c>
      <c r="E667" s="179">
        <v>52</v>
      </c>
      <c r="F667" s="179">
        <f t="shared" si="4"/>
        <v>1300</v>
      </c>
    </row>
    <row r="668" spans="1:6" s="43" customFormat="1" ht="12.75">
      <c r="A668" s="17"/>
      <c r="B668" s="54"/>
      <c r="C668" s="19"/>
      <c r="D668" s="20"/>
      <c r="E668" s="179"/>
      <c r="F668" s="179">
        <f t="shared" si="4"/>
        <v>0</v>
      </c>
    </row>
    <row r="669" spans="1:6" s="43" customFormat="1" ht="14.25">
      <c r="A669" s="17" t="s">
        <v>1535</v>
      </c>
      <c r="B669" s="54" t="s">
        <v>1536</v>
      </c>
      <c r="C669" s="19" t="s">
        <v>2557</v>
      </c>
      <c r="D669" s="20">
        <v>25</v>
      </c>
      <c r="E669" s="179">
        <v>70</v>
      </c>
      <c r="F669" s="179">
        <f t="shared" si="4"/>
        <v>1750</v>
      </c>
    </row>
    <row r="670" spans="1:6" s="43" customFormat="1" ht="12" customHeight="1">
      <c r="A670" s="17"/>
      <c r="B670" s="54"/>
      <c r="C670" s="19"/>
      <c r="D670" s="20"/>
      <c r="E670" s="179"/>
      <c r="F670" s="179">
        <f t="shared" si="4"/>
        <v>0</v>
      </c>
    </row>
    <row r="671" spans="1:6" s="43" customFormat="1" ht="14.25">
      <c r="A671" s="17" t="s">
        <v>1537</v>
      </c>
      <c r="B671" s="54" t="s">
        <v>1538</v>
      </c>
      <c r="C671" s="19" t="s">
        <v>2557</v>
      </c>
      <c r="D671" s="20">
        <v>35</v>
      </c>
      <c r="E671" s="179">
        <v>70</v>
      </c>
      <c r="F671" s="179">
        <f t="shared" si="4"/>
        <v>2450</v>
      </c>
    </row>
    <row r="672" spans="1:6" s="43" customFormat="1" ht="14.25" customHeight="1">
      <c r="A672" s="17"/>
      <c r="B672" s="54"/>
      <c r="C672" s="19"/>
      <c r="D672" s="20"/>
      <c r="E672" s="179"/>
      <c r="F672" s="179">
        <f t="shared" si="4"/>
        <v>0</v>
      </c>
    </row>
    <row r="673" spans="1:6" s="43" customFormat="1" ht="14.25">
      <c r="A673" s="17" t="s">
        <v>1539</v>
      </c>
      <c r="B673" s="54" t="s">
        <v>1540</v>
      </c>
      <c r="C673" s="19" t="s">
        <v>2557</v>
      </c>
      <c r="D673" s="20">
        <v>30</v>
      </c>
      <c r="E673" s="179">
        <v>52</v>
      </c>
      <c r="F673" s="179">
        <f t="shared" si="4"/>
        <v>1560</v>
      </c>
    </row>
    <row r="674" spans="1:6" s="43" customFormat="1" ht="12.75">
      <c r="A674" s="17"/>
      <c r="B674" s="54"/>
      <c r="C674" s="19"/>
      <c r="D674" s="20"/>
      <c r="E674" s="179"/>
      <c r="F674" s="179">
        <f t="shared" si="4"/>
        <v>0</v>
      </c>
    </row>
    <row r="675" spans="1:6" s="43" customFormat="1" ht="12.75" customHeight="1">
      <c r="A675" s="245" t="s">
        <v>1541</v>
      </c>
      <c r="B675" s="54" t="s">
        <v>1542</v>
      </c>
      <c r="C675" s="19" t="s">
        <v>2557</v>
      </c>
      <c r="D675" s="20">
        <v>30</v>
      </c>
      <c r="E675" s="179">
        <v>70</v>
      </c>
      <c r="F675" s="179">
        <f t="shared" si="4"/>
        <v>2100</v>
      </c>
    </row>
    <row r="676" spans="1:6" s="43" customFormat="1" ht="12.75">
      <c r="A676" s="17"/>
      <c r="B676" s="54"/>
      <c r="C676" s="19"/>
      <c r="D676" s="20"/>
      <c r="E676" s="179"/>
      <c r="F676" s="179">
        <f t="shared" si="4"/>
        <v>0</v>
      </c>
    </row>
    <row r="677" spans="1:6" s="43" customFormat="1" ht="14.25">
      <c r="A677" s="17" t="s">
        <v>1543</v>
      </c>
      <c r="B677" s="54" t="s">
        <v>1544</v>
      </c>
      <c r="C677" s="19" t="s">
        <v>2557</v>
      </c>
      <c r="D677" s="20">
        <v>40</v>
      </c>
      <c r="E677" s="179">
        <v>70</v>
      </c>
      <c r="F677" s="179">
        <f t="shared" si="4"/>
        <v>2800</v>
      </c>
    </row>
    <row r="678" spans="1:6" s="43" customFormat="1" ht="12.75">
      <c r="A678" s="187"/>
      <c r="B678" s="54"/>
      <c r="C678" s="19"/>
      <c r="D678" s="20"/>
      <c r="E678" s="179"/>
      <c r="F678" s="179">
        <f t="shared" si="4"/>
        <v>0</v>
      </c>
    </row>
    <row r="679" spans="1:6" s="43" customFormat="1" ht="14.25">
      <c r="A679" s="17" t="s">
        <v>1545</v>
      </c>
      <c r="B679" s="54" t="s">
        <v>1546</v>
      </c>
      <c r="C679" s="19" t="s">
        <v>2557</v>
      </c>
      <c r="D679" s="20">
        <v>35</v>
      </c>
      <c r="E679" s="179">
        <v>52</v>
      </c>
      <c r="F679" s="179">
        <f aca="true" t="shared" si="5" ref="F679:F724">D679*E679</f>
        <v>1820</v>
      </c>
    </row>
    <row r="680" spans="1:6" s="43" customFormat="1" ht="12.75" customHeight="1">
      <c r="A680" s="17"/>
      <c r="B680" s="54"/>
      <c r="C680" s="19"/>
      <c r="D680" s="20"/>
      <c r="E680" s="179"/>
      <c r="F680" s="179">
        <f t="shared" si="5"/>
        <v>0</v>
      </c>
    </row>
    <row r="681" spans="1:6" s="43" customFormat="1" ht="14.25">
      <c r="A681" s="17" t="s">
        <v>1547</v>
      </c>
      <c r="B681" s="54" t="s">
        <v>1548</v>
      </c>
      <c r="C681" s="19" t="s">
        <v>2557</v>
      </c>
      <c r="D681" s="20">
        <v>35</v>
      </c>
      <c r="E681" s="179">
        <v>70</v>
      </c>
      <c r="F681" s="179">
        <f t="shared" si="5"/>
        <v>2450</v>
      </c>
    </row>
    <row r="682" spans="1:6" s="43" customFormat="1" ht="12.75" customHeight="1">
      <c r="A682" s="187"/>
      <c r="B682" s="54"/>
      <c r="C682" s="19"/>
      <c r="D682" s="20"/>
      <c r="E682" s="179"/>
      <c r="F682" s="179">
        <f t="shared" si="5"/>
        <v>0</v>
      </c>
    </row>
    <row r="683" spans="1:6" s="43" customFormat="1" ht="14.25">
      <c r="A683" s="17" t="s">
        <v>1549</v>
      </c>
      <c r="B683" s="54" t="s">
        <v>1550</v>
      </c>
      <c r="C683" s="19" t="s">
        <v>2557</v>
      </c>
      <c r="D683" s="20">
        <v>45</v>
      </c>
      <c r="E683" s="179">
        <v>70</v>
      </c>
      <c r="F683" s="179">
        <f t="shared" si="5"/>
        <v>3150</v>
      </c>
    </row>
    <row r="684" spans="1:6" s="43" customFormat="1" ht="12.75">
      <c r="A684" s="17"/>
      <c r="B684" s="54"/>
      <c r="C684" s="19"/>
      <c r="D684" s="20"/>
      <c r="E684" s="179"/>
      <c r="F684" s="179">
        <f t="shared" si="5"/>
        <v>0</v>
      </c>
    </row>
    <row r="685" spans="1:6" s="43" customFormat="1" ht="14.25">
      <c r="A685" s="17" t="s">
        <v>1551</v>
      </c>
      <c r="B685" s="54" t="s">
        <v>1552</v>
      </c>
      <c r="C685" s="19" t="s">
        <v>2557</v>
      </c>
      <c r="D685" s="20">
        <v>40</v>
      </c>
      <c r="E685" s="179">
        <v>52</v>
      </c>
      <c r="F685" s="179">
        <f t="shared" si="5"/>
        <v>2080</v>
      </c>
    </row>
    <row r="686" spans="1:6" s="43" customFormat="1" ht="12" customHeight="1">
      <c r="A686" s="17"/>
      <c r="B686" s="54"/>
      <c r="C686" s="19"/>
      <c r="D686" s="20"/>
      <c r="E686" s="179"/>
      <c r="F686" s="179">
        <f t="shared" si="5"/>
        <v>0</v>
      </c>
    </row>
    <row r="687" spans="1:6" s="43" customFormat="1" ht="14.25">
      <c r="A687" s="17" t="s">
        <v>1553</v>
      </c>
      <c r="B687" s="54" t="s">
        <v>1554</v>
      </c>
      <c r="C687" s="19" t="s">
        <v>2557</v>
      </c>
      <c r="D687" s="20">
        <v>40</v>
      </c>
      <c r="E687" s="179">
        <v>70</v>
      </c>
      <c r="F687" s="179">
        <f t="shared" si="5"/>
        <v>2800</v>
      </c>
    </row>
    <row r="688" spans="1:6" s="43" customFormat="1" ht="14.25" customHeight="1">
      <c r="A688" s="17"/>
      <c r="B688" s="54"/>
      <c r="C688" s="19"/>
      <c r="D688" s="20"/>
      <c r="E688" s="179"/>
      <c r="F688" s="179">
        <f t="shared" si="5"/>
        <v>0</v>
      </c>
    </row>
    <row r="689" spans="1:6" s="43" customFormat="1" ht="14.25">
      <c r="A689" s="17" t="s">
        <v>1555</v>
      </c>
      <c r="B689" s="54" t="s">
        <v>1556</v>
      </c>
      <c r="C689" s="19" t="s">
        <v>2557</v>
      </c>
      <c r="D689" s="20">
        <v>50</v>
      </c>
      <c r="E689" s="179">
        <v>70</v>
      </c>
      <c r="F689" s="179">
        <f t="shared" si="5"/>
        <v>3500</v>
      </c>
    </row>
    <row r="690" spans="1:6" s="43" customFormat="1" ht="12.75" customHeight="1">
      <c r="A690" s="187"/>
      <c r="B690" s="54"/>
      <c r="C690" s="19"/>
      <c r="D690" s="20"/>
      <c r="E690" s="179"/>
      <c r="F690" s="179">
        <f t="shared" si="5"/>
        <v>0</v>
      </c>
    </row>
    <row r="691" spans="1:6" s="43" customFormat="1" ht="12.75">
      <c r="A691" s="17"/>
      <c r="B691" s="54" t="s">
        <v>1557</v>
      </c>
      <c r="C691" s="19"/>
      <c r="D691" s="20"/>
      <c r="E691" s="179"/>
      <c r="F691" s="179">
        <f t="shared" si="5"/>
        <v>0</v>
      </c>
    </row>
    <row r="692" spans="1:6" s="43" customFormat="1" ht="12.75">
      <c r="A692" s="17"/>
      <c r="B692" s="54"/>
      <c r="C692" s="19"/>
      <c r="D692" s="20"/>
      <c r="E692" s="179"/>
      <c r="F692" s="179">
        <f t="shared" si="5"/>
        <v>0</v>
      </c>
    </row>
    <row r="693" spans="1:6" s="43" customFormat="1" ht="12.75" customHeight="1">
      <c r="A693" s="17" t="s">
        <v>189</v>
      </c>
      <c r="B693" s="54" t="s">
        <v>1560</v>
      </c>
      <c r="C693" s="19" t="s">
        <v>2557</v>
      </c>
      <c r="D693" s="20">
        <v>18</v>
      </c>
      <c r="E693" s="179">
        <v>60</v>
      </c>
      <c r="F693" s="179">
        <f t="shared" si="5"/>
        <v>1080</v>
      </c>
    </row>
    <row r="694" spans="1:6" s="43" customFormat="1" ht="9" customHeight="1">
      <c r="A694" s="17"/>
      <c r="B694" s="54"/>
      <c r="C694" s="19"/>
      <c r="D694" s="20"/>
      <c r="E694" s="179"/>
      <c r="F694" s="179">
        <f t="shared" si="5"/>
        <v>0</v>
      </c>
    </row>
    <row r="695" spans="1:6" s="43" customFormat="1" ht="12.75" customHeight="1">
      <c r="A695" s="245" t="s">
        <v>2932</v>
      </c>
      <c r="B695" s="54" t="s">
        <v>2933</v>
      </c>
      <c r="C695" s="19" t="s">
        <v>2557</v>
      </c>
      <c r="D695" s="20">
        <v>540</v>
      </c>
      <c r="E695" s="179">
        <f>'Commercial Block'!E995</f>
        <v>30</v>
      </c>
      <c r="F695" s="179">
        <f t="shared" si="5"/>
        <v>16200</v>
      </c>
    </row>
    <row r="696" spans="1:6" s="43" customFormat="1" ht="12.75">
      <c r="A696" s="17"/>
      <c r="B696" s="54"/>
      <c r="C696" s="19"/>
      <c r="D696" s="20"/>
      <c r="E696" s="179"/>
      <c r="F696" s="179">
        <f t="shared" si="5"/>
        <v>0</v>
      </c>
    </row>
    <row r="697" spans="1:6" s="43" customFormat="1" ht="28.5" customHeight="1">
      <c r="A697" s="17" t="s">
        <v>2934</v>
      </c>
      <c r="B697" s="54" t="s">
        <v>939</v>
      </c>
      <c r="C697" s="19" t="s">
        <v>2557</v>
      </c>
      <c r="D697" s="20">
        <v>24</v>
      </c>
      <c r="E697" s="179">
        <f>'Commercial Block'!E991</f>
        <v>40</v>
      </c>
      <c r="F697" s="179">
        <f t="shared" si="5"/>
        <v>960</v>
      </c>
    </row>
    <row r="698" spans="1:6" s="43" customFormat="1" ht="12.75">
      <c r="A698" s="187"/>
      <c r="B698" s="54"/>
      <c r="C698" s="19"/>
      <c r="D698" s="20"/>
      <c r="E698" s="179"/>
      <c r="F698" s="179">
        <f t="shared" si="5"/>
        <v>0</v>
      </c>
    </row>
    <row r="699" spans="1:6" s="43" customFormat="1" ht="25.5">
      <c r="A699" s="17" t="s">
        <v>940</v>
      </c>
      <c r="B699" s="54" t="s">
        <v>941</v>
      </c>
      <c r="C699" s="19"/>
      <c r="D699" s="20"/>
      <c r="E699" s="179"/>
      <c r="F699" s="179">
        <f t="shared" si="5"/>
        <v>0</v>
      </c>
    </row>
    <row r="700" spans="1:6" s="43" customFormat="1" ht="12.75" customHeight="1">
      <c r="A700" s="17"/>
      <c r="B700" s="54" t="s">
        <v>942</v>
      </c>
      <c r="C700" s="19"/>
      <c r="D700" s="20"/>
      <c r="E700" s="179"/>
      <c r="F700" s="179">
        <f t="shared" si="5"/>
        <v>0</v>
      </c>
    </row>
    <row r="701" spans="1:6" s="43" customFormat="1" ht="12.75">
      <c r="A701" s="17"/>
      <c r="B701" s="54"/>
      <c r="C701" s="19"/>
      <c r="D701" s="20"/>
      <c r="E701" s="179"/>
      <c r="F701" s="179">
        <f t="shared" si="5"/>
        <v>0</v>
      </c>
    </row>
    <row r="702" spans="1:6" s="43" customFormat="1" ht="12.75" customHeight="1">
      <c r="A702" s="187"/>
      <c r="B702" s="54" t="s">
        <v>943</v>
      </c>
      <c r="C702" s="19" t="s">
        <v>1561</v>
      </c>
      <c r="D702" s="20">
        <v>1</v>
      </c>
      <c r="E702" s="179">
        <v>3500</v>
      </c>
      <c r="F702" s="179">
        <f t="shared" si="5"/>
        <v>3500</v>
      </c>
    </row>
    <row r="703" spans="1:6" s="43" customFormat="1" ht="12.75">
      <c r="A703" s="17"/>
      <c r="B703" s="54" t="s">
        <v>944</v>
      </c>
      <c r="C703" s="19" t="s">
        <v>1561</v>
      </c>
      <c r="D703" s="20">
        <v>1</v>
      </c>
      <c r="E703" s="179">
        <v>1200</v>
      </c>
      <c r="F703" s="179">
        <f t="shared" si="5"/>
        <v>1200</v>
      </c>
    </row>
    <row r="704" spans="1:6" s="43" customFormat="1" ht="12.75">
      <c r="A704" s="17"/>
      <c r="B704" s="54"/>
      <c r="C704" s="19"/>
      <c r="D704" s="20"/>
      <c r="E704" s="179"/>
      <c r="F704" s="179">
        <f t="shared" si="5"/>
        <v>0</v>
      </c>
    </row>
    <row r="705" spans="1:6" s="43" customFormat="1" ht="12.75">
      <c r="A705" s="17"/>
      <c r="B705" s="54" t="s">
        <v>945</v>
      </c>
      <c r="C705" s="19"/>
      <c r="D705" s="20"/>
      <c r="E705" s="179"/>
      <c r="F705" s="179">
        <f t="shared" si="5"/>
        <v>0</v>
      </c>
    </row>
    <row r="706" spans="1:6" s="43" customFormat="1" ht="12.75">
      <c r="A706" s="17"/>
      <c r="B706" s="54"/>
      <c r="C706" s="19"/>
      <c r="D706" s="20"/>
      <c r="E706" s="179"/>
      <c r="F706" s="179">
        <f t="shared" si="5"/>
        <v>0</v>
      </c>
    </row>
    <row r="707" spans="1:6" s="43" customFormat="1" ht="12" customHeight="1">
      <c r="A707" s="17" t="s">
        <v>187</v>
      </c>
      <c r="B707" s="54" t="s">
        <v>946</v>
      </c>
      <c r="C707" s="19"/>
      <c r="D707" s="20"/>
      <c r="E707" s="179"/>
      <c r="F707" s="179">
        <f t="shared" si="5"/>
        <v>0</v>
      </c>
    </row>
    <row r="708" spans="1:6" s="43" customFormat="1" ht="25.5">
      <c r="A708" s="17"/>
      <c r="B708" s="54" t="s">
        <v>442</v>
      </c>
      <c r="C708" s="19"/>
      <c r="D708" s="20"/>
      <c r="E708" s="179"/>
      <c r="F708" s="179">
        <f t="shared" si="5"/>
        <v>0</v>
      </c>
    </row>
    <row r="709" spans="1:6" s="43" customFormat="1" ht="14.25" customHeight="1">
      <c r="A709" s="17"/>
      <c r="B709" s="54" t="s">
        <v>443</v>
      </c>
      <c r="C709" s="19" t="s">
        <v>1561</v>
      </c>
      <c r="D709" s="20">
        <v>1</v>
      </c>
      <c r="E709" s="179">
        <v>850</v>
      </c>
      <c r="F709" s="179">
        <f t="shared" si="5"/>
        <v>850</v>
      </c>
    </row>
    <row r="710" spans="1:6" s="43" customFormat="1" ht="12.75">
      <c r="A710" s="17"/>
      <c r="B710" s="54"/>
      <c r="C710" s="19"/>
      <c r="D710" s="20"/>
      <c r="E710" s="179"/>
      <c r="F710" s="179">
        <f t="shared" si="5"/>
        <v>0</v>
      </c>
    </row>
    <row r="711" spans="1:6" s="43" customFormat="1" ht="12.75" customHeight="1">
      <c r="A711" s="187" t="s">
        <v>444</v>
      </c>
      <c r="B711" s="54" t="s">
        <v>1558</v>
      </c>
      <c r="C711" s="19" t="s">
        <v>2557</v>
      </c>
      <c r="D711" s="20">
        <v>6</v>
      </c>
      <c r="E711" s="179">
        <v>120</v>
      </c>
      <c r="F711" s="179">
        <f t="shared" si="5"/>
        <v>720</v>
      </c>
    </row>
    <row r="712" spans="1:6" s="43" customFormat="1" ht="12.75">
      <c r="A712" s="17"/>
      <c r="B712" s="54"/>
      <c r="C712" s="19"/>
      <c r="D712" s="20"/>
      <c r="E712" s="179"/>
      <c r="F712" s="179">
        <f t="shared" si="5"/>
        <v>0</v>
      </c>
    </row>
    <row r="713" spans="1:6" s="43" customFormat="1" ht="12.75" customHeight="1">
      <c r="A713" s="17" t="s">
        <v>1559</v>
      </c>
      <c r="B713" s="54" t="s">
        <v>445</v>
      </c>
      <c r="C713" s="19"/>
      <c r="D713" s="20"/>
      <c r="E713" s="179"/>
      <c r="F713" s="179">
        <f t="shared" si="5"/>
        <v>0</v>
      </c>
    </row>
    <row r="714" spans="1:6" s="43" customFormat="1" ht="12.75">
      <c r="A714" s="17"/>
      <c r="B714" s="54" t="s">
        <v>446</v>
      </c>
      <c r="C714" s="19" t="s">
        <v>2557</v>
      </c>
      <c r="D714" s="20">
        <v>1</v>
      </c>
      <c r="E714" s="179">
        <v>150</v>
      </c>
      <c r="F714" s="179">
        <f t="shared" si="5"/>
        <v>150</v>
      </c>
    </row>
    <row r="715" spans="1:6" s="43" customFormat="1" ht="12.75">
      <c r="A715" s="245"/>
      <c r="B715" s="54"/>
      <c r="C715" s="19"/>
      <c r="D715" s="20"/>
      <c r="E715" s="179"/>
      <c r="F715" s="179">
        <f t="shared" si="5"/>
        <v>0</v>
      </c>
    </row>
    <row r="716" spans="1:6" s="43" customFormat="1" ht="12.75">
      <c r="A716" s="17"/>
      <c r="B716" s="54" t="s">
        <v>658</v>
      </c>
      <c r="C716" s="19"/>
      <c r="D716" s="20"/>
      <c r="E716" s="179"/>
      <c r="F716" s="179">
        <f t="shared" si="5"/>
        <v>0</v>
      </c>
    </row>
    <row r="717" spans="1:6" s="43" customFormat="1" ht="12.75">
      <c r="A717" s="17"/>
      <c r="B717" s="54"/>
      <c r="C717" s="19"/>
      <c r="D717" s="20"/>
      <c r="E717" s="179"/>
      <c r="F717" s="179">
        <f t="shared" si="5"/>
        <v>0</v>
      </c>
    </row>
    <row r="718" spans="1:6" s="43" customFormat="1" ht="27">
      <c r="A718" s="17" t="s">
        <v>447</v>
      </c>
      <c r="B718" s="54" t="s">
        <v>448</v>
      </c>
      <c r="C718" s="19"/>
      <c r="D718" s="20"/>
      <c r="E718" s="179"/>
      <c r="F718" s="179">
        <f t="shared" si="5"/>
        <v>0</v>
      </c>
    </row>
    <row r="719" spans="1:6" s="43" customFormat="1" ht="38.25">
      <c r="A719" s="17"/>
      <c r="B719" s="54" t="s">
        <v>657</v>
      </c>
      <c r="C719" s="19" t="s">
        <v>1561</v>
      </c>
      <c r="D719" s="20">
        <v>90</v>
      </c>
      <c r="E719" s="179">
        <v>120</v>
      </c>
      <c r="F719" s="179">
        <f t="shared" si="5"/>
        <v>10800</v>
      </c>
    </row>
    <row r="720" spans="1:6" s="43" customFormat="1" ht="12.75">
      <c r="A720" s="17"/>
      <c r="B720" s="54"/>
      <c r="C720" s="19"/>
      <c r="D720" s="20"/>
      <c r="E720" s="179"/>
      <c r="F720" s="179">
        <f t="shared" si="5"/>
        <v>0</v>
      </c>
    </row>
    <row r="721" spans="1:6" s="43" customFormat="1" ht="12.75" customHeight="1">
      <c r="A721" s="17" t="s">
        <v>449</v>
      </c>
      <c r="B721" s="54" t="s">
        <v>450</v>
      </c>
      <c r="C721" s="19"/>
      <c r="D721" s="20"/>
      <c r="E721" s="179"/>
      <c r="F721" s="179">
        <f t="shared" si="5"/>
        <v>0</v>
      </c>
    </row>
    <row r="722" spans="1:6" s="43" customFormat="1" ht="12.75">
      <c r="A722" s="17"/>
      <c r="B722" s="54" t="s">
        <v>451</v>
      </c>
      <c r="C722" s="19" t="s">
        <v>1561</v>
      </c>
      <c r="D722" s="20">
        <v>18</v>
      </c>
      <c r="E722" s="179">
        <v>1500</v>
      </c>
      <c r="F722" s="179">
        <f t="shared" si="5"/>
        <v>27000</v>
      </c>
    </row>
    <row r="723" spans="1:6" s="43" customFormat="1" ht="12.75" customHeight="1">
      <c r="A723" s="187"/>
      <c r="B723" s="54"/>
      <c r="C723" s="19"/>
      <c r="D723" s="20"/>
      <c r="E723" s="179"/>
      <c r="F723" s="179">
        <f t="shared" si="5"/>
        <v>0</v>
      </c>
    </row>
    <row r="724" spans="1:6" s="43" customFormat="1" ht="12.75">
      <c r="A724" s="17" t="s">
        <v>452</v>
      </c>
      <c r="B724" s="54" t="s">
        <v>1095</v>
      </c>
      <c r="C724" s="19" t="s">
        <v>1561</v>
      </c>
      <c r="D724" s="20">
        <v>6</v>
      </c>
      <c r="E724" s="179">
        <v>450</v>
      </c>
      <c r="F724" s="179">
        <f t="shared" si="5"/>
        <v>2700</v>
      </c>
    </row>
    <row r="725" spans="1:6" s="43" customFormat="1" ht="12" customHeight="1">
      <c r="A725" s="17"/>
      <c r="B725" s="54"/>
      <c r="C725" s="19"/>
      <c r="D725" s="20"/>
      <c r="E725" s="179"/>
      <c r="F725" s="179"/>
    </row>
    <row r="726" spans="1:6" s="43" customFormat="1" ht="12.75">
      <c r="A726" s="17"/>
      <c r="B726" s="488" t="s">
        <v>1066</v>
      </c>
      <c r="C726" s="14"/>
      <c r="D726" s="489"/>
      <c r="E726" s="185"/>
      <c r="F726" s="185">
        <f>SUM(F358:F725)</f>
        <v>478366.2055299681</v>
      </c>
    </row>
    <row r="727" spans="1:6" s="43" customFormat="1" ht="12.75" customHeight="1">
      <c r="A727" s="55"/>
      <c r="B727" s="54"/>
      <c r="C727" s="19"/>
      <c r="D727" s="20"/>
      <c r="E727" s="179"/>
      <c r="F727" s="179"/>
    </row>
    <row r="728" spans="1:7" s="66" customFormat="1" ht="12.75">
      <c r="A728" s="105">
        <v>10</v>
      </c>
      <c r="B728" s="69" t="s">
        <v>3167</v>
      </c>
      <c r="C728" s="64"/>
      <c r="D728" s="63"/>
      <c r="E728" s="432"/>
      <c r="F728" s="432"/>
      <c r="G728" s="70"/>
    </row>
    <row r="729" spans="1:7" s="43" customFormat="1" ht="12.75">
      <c r="A729" s="82"/>
      <c r="B729" s="71"/>
      <c r="C729" s="64"/>
      <c r="D729" s="63"/>
      <c r="E729" s="425"/>
      <c r="F729" s="425"/>
      <c r="G729" s="72"/>
    </row>
    <row r="730" spans="1:6" s="28" customFormat="1" ht="12.75">
      <c r="A730" s="258">
        <v>10.1</v>
      </c>
      <c r="B730" s="28" t="s">
        <v>249</v>
      </c>
      <c r="E730" s="469"/>
      <c r="F730" s="469"/>
    </row>
    <row r="731" spans="1:4" ht="12.75">
      <c r="A731" s="244"/>
      <c r="B731" s="27"/>
      <c r="C731" s="19"/>
      <c r="D731" s="26"/>
    </row>
    <row r="732" spans="1:4" ht="81" customHeight="1">
      <c r="A732" s="244"/>
      <c r="B732" s="27" t="s">
        <v>2302</v>
      </c>
      <c r="C732" s="19"/>
      <c r="D732" s="26"/>
    </row>
    <row r="733" spans="1:4" ht="12.75">
      <c r="A733" s="244"/>
      <c r="B733" s="27"/>
      <c r="C733" s="19"/>
      <c r="D733" s="26"/>
    </row>
    <row r="734" spans="1:6" ht="63.75">
      <c r="A734" s="244" t="s">
        <v>2303</v>
      </c>
      <c r="B734" s="27" t="s">
        <v>2304</v>
      </c>
      <c r="C734" s="19"/>
      <c r="D734" s="26"/>
      <c r="F734" s="178"/>
    </row>
    <row r="735" spans="1:6" ht="12.75">
      <c r="A735" s="244"/>
      <c r="B735" s="27" t="s">
        <v>2305</v>
      </c>
      <c r="C735" s="19" t="s">
        <v>2556</v>
      </c>
      <c r="D735" s="26">
        <v>32</v>
      </c>
      <c r="E735" s="182">
        <f>'Commercial Block'!E1018</f>
        <v>2190.4189255399483</v>
      </c>
      <c r="F735" s="178">
        <f>D735*E735</f>
        <v>70093.40561727835</v>
      </c>
    </row>
    <row r="736" spans="1:6" ht="12.75">
      <c r="A736" s="244"/>
      <c r="B736" s="27"/>
      <c r="C736" s="19"/>
      <c r="D736" s="26"/>
      <c r="F736" s="178"/>
    </row>
    <row r="737" spans="1:6" ht="38.25">
      <c r="A737" s="244" t="s">
        <v>2306</v>
      </c>
      <c r="B737" s="27" t="s">
        <v>2415</v>
      </c>
      <c r="C737" s="19" t="s">
        <v>2556</v>
      </c>
      <c r="D737" s="26">
        <v>27</v>
      </c>
      <c r="E737" s="178">
        <f>'Commercial Block'!E1020</f>
        <v>2318.0214084088225</v>
      </c>
      <c r="F737" s="178">
        <f aca="true" t="shared" si="6" ref="F737:F796">D737*E737</f>
        <v>62586.57802703821</v>
      </c>
    </row>
    <row r="738" spans="1:6" ht="12.75">
      <c r="A738" s="244"/>
      <c r="B738" s="27"/>
      <c r="C738" s="19"/>
      <c r="D738" s="26"/>
      <c r="E738" s="178"/>
      <c r="F738" s="178"/>
    </row>
    <row r="739" spans="1:6" ht="51">
      <c r="A739" s="244" t="s">
        <v>2416</v>
      </c>
      <c r="B739" s="27" t="s">
        <v>2921</v>
      </c>
      <c r="C739" s="19" t="s">
        <v>2556</v>
      </c>
      <c r="D739" s="26">
        <v>10</v>
      </c>
      <c r="E739" s="178">
        <f>'Cost break dow.'!V618</f>
        <v>560.6600361648981</v>
      </c>
      <c r="F739" s="178">
        <f t="shared" si="6"/>
        <v>5606.600361648981</v>
      </c>
    </row>
    <row r="740" spans="1:6" ht="12.75">
      <c r="A740" s="244"/>
      <c r="B740" s="27"/>
      <c r="C740" s="19"/>
      <c r="D740" s="26"/>
      <c r="F740" s="178"/>
    </row>
    <row r="741" spans="1:6" ht="38.25">
      <c r="A741" s="244" t="s">
        <v>2418</v>
      </c>
      <c r="B741" s="27" t="s">
        <v>2417</v>
      </c>
      <c r="C741" s="19" t="s">
        <v>2556</v>
      </c>
      <c r="D741" s="26">
        <v>27</v>
      </c>
      <c r="E741" s="178">
        <f>'Commercial Block'!E1022</f>
        <v>156.29214717746865</v>
      </c>
      <c r="F741" s="178">
        <f t="shared" si="6"/>
        <v>4219.887973791653</v>
      </c>
    </row>
    <row r="742" spans="1:6" ht="12.75">
      <c r="A742" s="244"/>
      <c r="B742" s="27"/>
      <c r="C742" s="19"/>
      <c r="D742" s="26"/>
      <c r="F742" s="178"/>
    </row>
    <row r="743" spans="1:6" ht="63.75">
      <c r="A743" s="244" t="s">
        <v>2069</v>
      </c>
      <c r="B743" s="27" t="s">
        <v>2068</v>
      </c>
      <c r="C743" s="19" t="s">
        <v>2556</v>
      </c>
      <c r="D743" s="26">
        <v>32</v>
      </c>
      <c r="E743" s="178">
        <f>'Commercial Block'!E1024</f>
        <v>350</v>
      </c>
      <c r="F743" s="178">
        <f t="shared" si="6"/>
        <v>11200</v>
      </c>
    </row>
    <row r="744" spans="1:6" ht="12.75">
      <c r="A744" s="244"/>
      <c r="B744" s="27"/>
      <c r="C744" s="19"/>
      <c r="D744" s="26"/>
      <c r="F744" s="178"/>
    </row>
    <row r="745" spans="1:6" ht="51">
      <c r="A745" s="244" t="s">
        <v>2071</v>
      </c>
      <c r="B745" s="27" t="s">
        <v>2070</v>
      </c>
      <c r="C745" s="19" t="s">
        <v>2556</v>
      </c>
      <c r="D745" s="26">
        <v>44</v>
      </c>
      <c r="E745" s="178">
        <f>'Commercial Block'!E1026</f>
        <v>156.29214717746865</v>
      </c>
      <c r="F745" s="178">
        <f t="shared" si="6"/>
        <v>6876.854475808621</v>
      </c>
    </row>
    <row r="746" spans="1:6" ht="12.75">
      <c r="A746" s="244"/>
      <c r="B746" s="27"/>
      <c r="C746" s="19"/>
      <c r="D746" s="26"/>
      <c r="E746" s="178"/>
      <c r="F746" s="178"/>
    </row>
    <row r="747" spans="1:6" ht="51">
      <c r="A747" s="244" t="s">
        <v>2073</v>
      </c>
      <c r="B747" s="27" t="s">
        <v>2072</v>
      </c>
      <c r="C747" s="19" t="s">
        <v>2556</v>
      </c>
      <c r="D747" s="26">
        <v>44</v>
      </c>
      <c r="E747" s="178">
        <f>'Cost break dow.'!V657</f>
        <v>156.29214717746865</v>
      </c>
      <c r="F747" s="178">
        <f t="shared" si="6"/>
        <v>6876.854475808621</v>
      </c>
    </row>
    <row r="748" spans="1:6" ht="12.75">
      <c r="A748" s="244"/>
      <c r="B748" s="27"/>
      <c r="C748" s="19"/>
      <c r="D748" s="26"/>
      <c r="E748" s="178"/>
      <c r="F748" s="178"/>
    </row>
    <row r="749" spans="1:6" ht="38.25">
      <c r="A749" s="244" t="s">
        <v>2076</v>
      </c>
      <c r="B749" s="27" t="s">
        <v>2074</v>
      </c>
      <c r="C749" s="19"/>
      <c r="D749" s="26"/>
      <c r="E749" s="178"/>
      <c r="F749" s="178"/>
    </row>
    <row r="750" spans="1:6" ht="12.75">
      <c r="A750" s="244"/>
      <c r="B750" s="27" t="s">
        <v>2075</v>
      </c>
      <c r="C750" s="19" t="s">
        <v>2556</v>
      </c>
      <c r="D750" s="26">
        <v>30</v>
      </c>
      <c r="E750" s="178">
        <v>150</v>
      </c>
      <c r="F750" s="178">
        <f t="shared" si="6"/>
        <v>4500</v>
      </c>
    </row>
    <row r="751" spans="1:6" ht="12.75">
      <c r="A751" s="244"/>
      <c r="B751" s="27"/>
      <c r="C751" s="19"/>
      <c r="D751" s="26"/>
      <c r="E751" s="178"/>
      <c r="F751" s="178"/>
    </row>
    <row r="752" spans="1:6" ht="51">
      <c r="A752" s="244" t="s">
        <v>461</v>
      </c>
      <c r="B752" s="27" t="s">
        <v>1716</v>
      </c>
      <c r="C752" s="19"/>
      <c r="D752" s="26"/>
      <c r="E752" s="178"/>
      <c r="F752" s="178"/>
    </row>
    <row r="753" spans="1:6" ht="12.75">
      <c r="A753" s="244"/>
      <c r="B753" s="27" t="s">
        <v>1717</v>
      </c>
      <c r="C753" s="19" t="s">
        <v>2556</v>
      </c>
      <c r="D753" s="26">
        <v>18</v>
      </c>
      <c r="E753" s="178">
        <v>850</v>
      </c>
      <c r="F753" s="178">
        <f>D753*E753</f>
        <v>15300</v>
      </c>
    </row>
    <row r="754" spans="1:6" ht="12.75">
      <c r="A754" s="244"/>
      <c r="B754" s="27"/>
      <c r="C754" s="19"/>
      <c r="D754" s="26"/>
      <c r="F754" s="178"/>
    </row>
    <row r="755" spans="1:6" ht="51">
      <c r="A755" s="244" t="s">
        <v>463</v>
      </c>
      <c r="B755" s="27" t="s">
        <v>2107</v>
      </c>
      <c r="C755" s="19"/>
      <c r="D755" s="26"/>
      <c r="F755" s="178"/>
    </row>
    <row r="756" spans="1:6" ht="12.75">
      <c r="A756" s="244"/>
      <c r="B756" s="27" t="s">
        <v>2108</v>
      </c>
      <c r="C756" s="19" t="s">
        <v>2556</v>
      </c>
      <c r="D756" s="26">
        <v>18</v>
      </c>
      <c r="E756" s="182">
        <f>'Cost break dow.'!V631</f>
        <v>4820.762227408396</v>
      </c>
      <c r="F756" s="178">
        <f t="shared" si="6"/>
        <v>86773.72009335113</v>
      </c>
    </row>
    <row r="757" spans="1:6" ht="12.75">
      <c r="A757" s="244"/>
      <c r="B757" s="27" t="s">
        <v>1718</v>
      </c>
      <c r="C757" s="19" t="s">
        <v>2556</v>
      </c>
      <c r="D757" s="26">
        <v>18</v>
      </c>
      <c r="E757" s="182">
        <v>1750</v>
      </c>
      <c r="F757" s="178">
        <f t="shared" si="6"/>
        <v>31500</v>
      </c>
    </row>
    <row r="758" spans="1:6" ht="12.75">
      <c r="A758" s="244"/>
      <c r="B758" s="27" t="s">
        <v>1719</v>
      </c>
      <c r="C758" s="19" t="s">
        <v>2556</v>
      </c>
      <c r="D758" s="26">
        <v>6</v>
      </c>
      <c r="E758" s="182">
        <v>2100</v>
      </c>
      <c r="F758" s="178">
        <f t="shared" si="6"/>
        <v>12600</v>
      </c>
    </row>
    <row r="759" spans="1:6" ht="12.75">
      <c r="A759" s="244"/>
      <c r="B759" s="27"/>
      <c r="C759" s="19"/>
      <c r="D759" s="26"/>
      <c r="F759" s="178"/>
    </row>
    <row r="760" spans="1:6" ht="38.25">
      <c r="A760" s="244" t="s">
        <v>2109</v>
      </c>
      <c r="B760" s="27" t="s">
        <v>2918</v>
      </c>
      <c r="C760" s="19"/>
      <c r="D760" s="26"/>
      <c r="F760" s="178"/>
    </row>
    <row r="761" spans="1:6" ht="12.75">
      <c r="A761" s="244"/>
      <c r="B761" s="27" t="s">
        <v>2919</v>
      </c>
      <c r="C761" s="19" t="s">
        <v>2556</v>
      </c>
      <c r="D761" s="26">
        <v>18</v>
      </c>
      <c r="E761" s="182">
        <v>650</v>
      </c>
      <c r="F761" s="182">
        <f t="shared" si="6"/>
        <v>11700</v>
      </c>
    </row>
    <row r="762" spans="1:4" ht="12.75">
      <c r="A762" s="244"/>
      <c r="B762" s="27"/>
      <c r="C762" s="19"/>
      <c r="D762" s="26"/>
    </row>
    <row r="763" spans="1:4" ht="51">
      <c r="A763" s="244" t="s">
        <v>2920</v>
      </c>
      <c r="B763" s="27" t="s">
        <v>1720</v>
      </c>
      <c r="C763" s="19"/>
      <c r="D763" s="26"/>
    </row>
    <row r="764" spans="1:6" ht="12.75">
      <c r="A764" s="244"/>
      <c r="B764" s="27" t="s">
        <v>1721</v>
      </c>
      <c r="C764" s="19" t="s">
        <v>2556</v>
      </c>
      <c r="D764" s="26">
        <v>6</v>
      </c>
      <c r="E764" s="182">
        <v>1850</v>
      </c>
      <c r="F764" s="182">
        <f t="shared" si="6"/>
        <v>11100</v>
      </c>
    </row>
    <row r="765" spans="1:6" ht="102">
      <c r="A765" s="244" t="s">
        <v>2922</v>
      </c>
      <c r="B765" s="27" t="s">
        <v>460</v>
      </c>
      <c r="C765" s="19" t="s">
        <v>2556</v>
      </c>
      <c r="D765" s="26">
        <v>6</v>
      </c>
      <c r="E765" s="178">
        <f>'Commercial Block'!E1033</f>
        <v>16500</v>
      </c>
      <c r="F765" s="178">
        <f t="shared" si="6"/>
        <v>99000</v>
      </c>
    </row>
    <row r="766" spans="1:4" ht="12.75">
      <c r="A766" s="244"/>
      <c r="B766" s="27"/>
      <c r="C766" s="19"/>
      <c r="D766" s="26"/>
    </row>
    <row r="767" spans="1:5" ht="38.25">
      <c r="A767" s="244" t="s">
        <v>1722</v>
      </c>
      <c r="B767" s="27" t="s">
        <v>462</v>
      </c>
      <c r="C767" s="19"/>
      <c r="D767" s="26"/>
      <c r="E767" s="178"/>
    </row>
    <row r="768" spans="1:6" ht="12.75">
      <c r="A768" s="244"/>
      <c r="B768" s="27" t="s">
        <v>2075</v>
      </c>
      <c r="C768" s="19" t="s">
        <v>2556</v>
      </c>
      <c r="D768" s="26">
        <v>7</v>
      </c>
      <c r="E768" s="178">
        <f>'Commercial Block'!E1036</f>
        <v>150</v>
      </c>
      <c r="F768" s="182">
        <f t="shared" si="6"/>
        <v>1050</v>
      </c>
    </row>
    <row r="769" spans="1:6" ht="12.75">
      <c r="A769" s="244"/>
      <c r="B769" s="27"/>
      <c r="C769" s="19"/>
      <c r="D769" s="26"/>
      <c r="E769" s="178"/>
      <c r="F769" s="182">
        <f t="shared" si="6"/>
        <v>0</v>
      </c>
    </row>
    <row r="770" spans="1:6" ht="12.75">
      <c r="A770" s="244" t="s">
        <v>1723</v>
      </c>
      <c r="B770" s="27" t="s">
        <v>464</v>
      </c>
      <c r="C770" s="19" t="s">
        <v>2556</v>
      </c>
      <c r="D770" s="26">
        <v>8</v>
      </c>
      <c r="E770" s="178">
        <f>'Commercial Block'!E1038</f>
        <v>1850</v>
      </c>
      <c r="F770" s="182">
        <f t="shared" si="6"/>
        <v>14800</v>
      </c>
    </row>
    <row r="771" spans="1:5" ht="12.75">
      <c r="A771" s="244"/>
      <c r="B771" s="27"/>
      <c r="C771" s="19"/>
      <c r="D771" s="26"/>
      <c r="E771" s="178"/>
    </row>
    <row r="772" spans="1:6" s="7" customFormat="1" ht="12.75">
      <c r="A772" s="243">
        <v>10.2</v>
      </c>
      <c r="B772" s="28" t="s">
        <v>465</v>
      </c>
      <c r="C772" s="14"/>
      <c r="D772" s="32"/>
      <c r="E772" s="470"/>
      <c r="F772" s="182"/>
    </row>
    <row r="773" spans="1:5" ht="12.75">
      <c r="A773" s="244"/>
      <c r="B773" s="27"/>
      <c r="C773" s="19"/>
      <c r="D773" s="26"/>
      <c r="E773" s="178"/>
    </row>
    <row r="774" spans="1:5" ht="93" customHeight="1">
      <c r="A774" s="244"/>
      <c r="B774" s="27" t="s">
        <v>466</v>
      </c>
      <c r="C774" s="19"/>
      <c r="D774" s="26"/>
      <c r="E774" s="178"/>
    </row>
    <row r="775" spans="1:5" ht="12.75">
      <c r="A775" s="244"/>
      <c r="B775" s="27"/>
      <c r="C775" s="19"/>
      <c r="D775" s="26"/>
      <c r="E775" s="178"/>
    </row>
    <row r="776" spans="1:5" ht="51">
      <c r="A776" s="244" t="s">
        <v>467</v>
      </c>
      <c r="B776" s="27" t="s">
        <v>468</v>
      </c>
      <c r="C776" s="19"/>
      <c r="D776" s="26"/>
      <c r="E776" s="178"/>
    </row>
    <row r="777" spans="1:6" ht="12.75">
      <c r="A777" s="244"/>
      <c r="B777" s="27" t="s">
        <v>1398</v>
      </c>
      <c r="C777" s="19" t="s">
        <v>92</v>
      </c>
      <c r="D777" s="26">
        <v>389</v>
      </c>
      <c r="E777" s="178">
        <f>'Cost break dow.'!V519</f>
        <v>58.74649996816975</v>
      </c>
      <c r="F777" s="182">
        <f t="shared" si="6"/>
        <v>22852.388487618035</v>
      </c>
    </row>
    <row r="778" spans="1:6" ht="12.75">
      <c r="A778" s="244"/>
      <c r="B778" s="27" t="s">
        <v>1399</v>
      </c>
      <c r="C778" s="19" t="s">
        <v>92</v>
      </c>
      <c r="D778" s="26">
        <v>209</v>
      </c>
      <c r="E778" s="178">
        <f>'Cost break dow.'!V525</f>
        <v>70.68217174942471</v>
      </c>
      <c r="F778" s="182">
        <f t="shared" si="6"/>
        <v>14772.573895629765</v>
      </c>
    </row>
    <row r="779" spans="1:6" ht="12.75">
      <c r="A779" s="244"/>
      <c r="B779" s="27" t="s">
        <v>1400</v>
      </c>
      <c r="C779" s="19" t="s">
        <v>92</v>
      </c>
      <c r="D779" s="26">
        <v>48</v>
      </c>
      <c r="E779" s="178">
        <f>'Cost break dow.'!V531</f>
        <v>88.236257432808</v>
      </c>
      <c r="F779" s="182">
        <f t="shared" si="6"/>
        <v>4235.340356774785</v>
      </c>
    </row>
    <row r="780" spans="1:6" ht="12.75">
      <c r="A780" s="244"/>
      <c r="B780" s="27" t="s">
        <v>1007</v>
      </c>
      <c r="C780" s="19" t="s">
        <v>92</v>
      </c>
      <c r="D780" s="26">
        <v>62</v>
      </c>
      <c r="E780" s="178">
        <f>'Cost break dow.'!V537</f>
        <v>531.5534563341796</v>
      </c>
      <c r="F780" s="182">
        <f t="shared" si="6"/>
        <v>32956.31429271914</v>
      </c>
    </row>
    <row r="781" spans="1:6" ht="12.75">
      <c r="A781" s="244"/>
      <c r="B781" s="27" t="s">
        <v>1008</v>
      </c>
      <c r="C781" s="19" t="s">
        <v>92</v>
      </c>
      <c r="D781" s="26">
        <v>37</v>
      </c>
      <c r="E781" s="178">
        <f>'Cost break dow.'!V543</f>
        <v>138.9602631857995</v>
      </c>
      <c r="F781" s="182">
        <f t="shared" si="6"/>
        <v>5141.529737874582</v>
      </c>
    </row>
    <row r="782" spans="1:6" ht="12.75">
      <c r="A782" s="244"/>
      <c r="B782" s="27" t="s">
        <v>1009</v>
      </c>
      <c r="C782" s="19" t="s">
        <v>92</v>
      </c>
      <c r="D782" s="26">
        <v>31</v>
      </c>
      <c r="E782" s="178">
        <f>'Cost break dow.'!V549</f>
        <v>178.97099731676602</v>
      </c>
      <c r="F782" s="182">
        <f t="shared" si="6"/>
        <v>5548.100916819746</v>
      </c>
    </row>
    <row r="783" spans="1:6" ht="12.75">
      <c r="A783" s="244"/>
      <c r="B783" s="27" t="s">
        <v>1401</v>
      </c>
      <c r="C783" s="19" t="s">
        <v>92</v>
      </c>
      <c r="D783" s="26">
        <v>19</v>
      </c>
      <c r="E783" s="178">
        <v>150</v>
      </c>
      <c r="F783" s="182">
        <f t="shared" si="6"/>
        <v>2850</v>
      </c>
    </row>
    <row r="784" spans="1:6" ht="12.75">
      <c r="A784" s="244"/>
      <c r="B784" s="27" t="s">
        <v>1724</v>
      </c>
      <c r="C784" s="19" t="s">
        <v>92</v>
      </c>
      <c r="D784" s="26">
        <v>18</v>
      </c>
      <c r="E784" s="178">
        <v>190</v>
      </c>
      <c r="F784" s="182">
        <f t="shared" si="6"/>
        <v>3420</v>
      </c>
    </row>
    <row r="785" spans="1:5" ht="12.75">
      <c r="A785" s="244"/>
      <c r="B785" s="27"/>
      <c r="C785" s="19"/>
      <c r="D785" s="26"/>
      <c r="E785" s="178"/>
    </row>
    <row r="786" spans="1:5" ht="51.75" customHeight="1">
      <c r="A786" s="244" t="s">
        <v>1402</v>
      </c>
      <c r="B786" s="27" t="s">
        <v>2981</v>
      </c>
      <c r="C786" s="19"/>
      <c r="D786" s="26"/>
      <c r="E786" s="178"/>
    </row>
    <row r="787" spans="1:6" ht="12.75">
      <c r="A787" s="244"/>
      <c r="B787" s="27" t="s">
        <v>2982</v>
      </c>
      <c r="C787" s="19" t="s">
        <v>2556</v>
      </c>
      <c r="D787" s="26">
        <v>269</v>
      </c>
      <c r="E787" s="178">
        <v>75</v>
      </c>
      <c r="F787" s="182">
        <f t="shared" si="6"/>
        <v>20175</v>
      </c>
    </row>
    <row r="788" spans="1:5" ht="12.75">
      <c r="A788" s="244"/>
      <c r="B788" s="27"/>
      <c r="C788" s="19"/>
      <c r="D788" s="26"/>
      <c r="E788" s="178"/>
    </row>
    <row r="789" spans="1:5" ht="38.25">
      <c r="A789" s="244" t="s">
        <v>2983</v>
      </c>
      <c r="B789" s="27" t="s">
        <v>59</v>
      </c>
      <c r="C789" s="19"/>
      <c r="D789" s="26"/>
      <c r="E789" s="178"/>
    </row>
    <row r="790" spans="1:6" ht="12.75">
      <c r="A790" s="244"/>
      <c r="B790" s="27" t="s">
        <v>1399</v>
      </c>
      <c r="C790" s="19" t="s">
        <v>92</v>
      </c>
      <c r="D790" s="26">
        <v>24</v>
      </c>
      <c r="E790" s="178">
        <v>35.396822500000006</v>
      </c>
      <c r="F790" s="182">
        <f t="shared" si="6"/>
        <v>849.5237400000001</v>
      </c>
    </row>
    <row r="791" spans="1:6" ht="12.75">
      <c r="A791" s="244"/>
      <c r="B791" s="27" t="s">
        <v>1400</v>
      </c>
      <c r="C791" s="19" t="s">
        <v>92</v>
      </c>
      <c r="D791" s="26">
        <v>5</v>
      </c>
      <c r="E791" s="178">
        <v>42.22182250000001</v>
      </c>
      <c r="F791" s="182">
        <f t="shared" si="6"/>
        <v>211.10911250000004</v>
      </c>
    </row>
    <row r="792" spans="1:6" ht="12.75">
      <c r="A792" s="244"/>
      <c r="B792" s="27" t="s">
        <v>1007</v>
      </c>
      <c r="C792" s="19" t="s">
        <v>92</v>
      </c>
      <c r="D792" s="26">
        <v>4</v>
      </c>
      <c r="E792" s="178">
        <v>55.8718225</v>
      </c>
      <c r="F792" s="182">
        <f t="shared" si="6"/>
        <v>223.48729</v>
      </c>
    </row>
    <row r="793" spans="1:6" ht="12.75">
      <c r="A793" s="244"/>
      <c r="B793" s="27" t="s">
        <v>1008</v>
      </c>
      <c r="C793" s="19" t="s">
        <v>92</v>
      </c>
      <c r="D793" s="26">
        <v>3</v>
      </c>
      <c r="E793" s="178">
        <v>83.1718225</v>
      </c>
      <c r="F793" s="182">
        <f t="shared" si="6"/>
        <v>249.5154675</v>
      </c>
    </row>
    <row r="794" spans="1:6" ht="12.75">
      <c r="A794" s="244"/>
      <c r="B794" s="27" t="s">
        <v>1009</v>
      </c>
      <c r="C794" s="19" t="s">
        <v>92</v>
      </c>
      <c r="D794" s="26">
        <v>3</v>
      </c>
      <c r="E794" s="178">
        <v>260.6218225</v>
      </c>
      <c r="F794" s="182">
        <f t="shared" si="6"/>
        <v>781.8654675</v>
      </c>
    </row>
    <row r="795" spans="1:6" ht="12.75">
      <c r="A795" s="244"/>
      <c r="B795" s="27" t="s">
        <v>1401</v>
      </c>
      <c r="C795" s="19" t="s">
        <v>92</v>
      </c>
      <c r="D795" s="26">
        <v>1</v>
      </c>
      <c r="E795" s="178">
        <v>328.8718225</v>
      </c>
      <c r="F795" s="182">
        <f t="shared" si="6"/>
        <v>328.8718225</v>
      </c>
    </row>
    <row r="796" spans="1:6" ht="12.75">
      <c r="A796" s="244"/>
      <c r="B796" s="27" t="s">
        <v>1724</v>
      </c>
      <c r="C796" s="19" t="s">
        <v>92</v>
      </c>
      <c r="D796" s="26">
        <v>1</v>
      </c>
      <c r="E796" s="178">
        <v>400</v>
      </c>
      <c r="F796" s="182">
        <f t="shared" si="6"/>
        <v>400</v>
      </c>
    </row>
    <row r="797" spans="1:5" ht="12.75">
      <c r="A797" s="244"/>
      <c r="B797" s="27"/>
      <c r="C797" s="19"/>
      <c r="D797" s="26"/>
      <c r="E797" s="178"/>
    </row>
    <row r="798" spans="1:5" ht="12.75">
      <c r="A798" s="244">
        <v>10.3</v>
      </c>
      <c r="B798" s="27" t="s">
        <v>2744</v>
      </c>
      <c r="C798" s="19"/>
      <c r="D798" s="26"/>
      <c r="E798" s="178"/>
    </row>
    <row r="799" spans="1:5" ht="12.75">
      <c r="A799" s="244"/>
      <c r="B799" s="27" t="s">
        <v>2745</v>
      </c>
      <c r="C799" s="19"/>
      <c r="D799" s="26"/>
      <c r="E799" s="178"/>
    </row>
    <row r="800" spans="1:5" ht="12.75">
      <c r="A800" s="244"/>
      <c r="B800" s="27"/>
      <c r="C800" s="19"/>
      <c r="D800" s="26"/>
      <c r="E800" s="178"/>
    </row>
    <row r="801" spans="1:5" ht="140.25">
      <c r="A801" s="244"/>
      <c r="B801" s="27" t="s">
        <v>1611</v>
      </c>
      <c r="C801" s="19"/>
      <c r="D801" s="26"/>
      <c r="E801" s="178"/>
    </row>
    <row r="802" spans="1:5" ht="12.75">
      <c r="A802" s="244"/>
      <c r="B802" s="27"/>
      <c r="C802" s="19"/>
      <c r="D802" s="26"/>
      <c r="E802" s="178"/>
    </row>
    <row r="803" spans="1:5" ht="38.25">
      <c r="A803" s="244" t="s">
        <v>1612</v>
      </c>
      <c r="B803" s="27" t="s">
        <v>2100</v>
      </c>
      <c r="C803" s="19"/>
      <c r="D803" s="26"/>
      <c r="E803" s="178"/>
    </row>
    <row r="804" spans="1:6" ht="12.75">
      <c r="A804" s="244"/>
      <c r="B804" s="27" t="s">
        <v>2101</v>
      </c>
      <c r="C804" s="19" t="s">
        <v>92</v>
      </c>
      <c r="D804" s="26">
        <v>49</v>
      </c>
      <c r="E804" s="178">
        <f>'Commercial Block'!E1070</f>
        <v>55.68307376428981</v>
      </c>
      <c r="F804" s="182">
        <f aca="true" t="shared" si="7" ref="F804:F863">D804*E804</f>
        <v>2728.4706144502006</v>
      </c>
    </row>
    <row r="805" spans="1:6" ht="12.75">
      <c r="A805" s="244"/>
      <c r="B805" s="27" t="s">
        <v>2102</v>
      </c>
      <c r="C805" s="19" t="s">
        <v>92</v>
      </c>
      <c r="D805" s="26">
        <v>148</v>
      </c>
      <c r="E805" s="178">
        <f>'Commercial Block'!E1071</f>
        <v>60</v>
      </c>
      <c r="F805" s="182">
        <f t="shared" si="7"/>
        <v>8880</v>
      </c>
    </row>
    <row r="806" spans="1:6" ht="12.75">
      <c r="A806" s="244"/>
      <c r="B806" s="27" t="s">
        <v>1725</v>
      </c>
      <c r="C806" s="19" t="s">
        <v>92</v>
      </c>
      <c r="D806" s="26">
        <v>23</v>
      </c>
      <c r="E806" s="178">
        <v>75</v>
      </c>
      <c r="F806" s="182">
        <f t="shared" si="7"/>
        <v>1725</v>
      </c>
    </row>
    <row r="807" spans="1:6" ht="12.75">
      <c r="A807" s="244"/>
      <c r="B807" s="27" t="s">
        <v>1627</v>
      </c>
      <c r="C807" s="19" t="s">
        <v>92</v>
      </c>
      <c r="D807" s="26">
        <v>55</v>
      </c>
      <c r="E807" s="178">
        <f>'Commercial Block'!E1072</f>
        <v>99.56877731228725</v>
      </c>
      <c r="F807" s="182">
        <f t="shared" si="7"/>
        <v>5476.282752175799</v>
      </c>
    </row>
    <row r="808" spans="1:6" ht="12.75">
      <c r="A808" s="244"/>
      <c r="B808" s="27" t="s">
        <v>1628</v>
      </c>
      <c r="C808" s="19" t="s">
        <v>92</v>
      </c>
      <c r="D808" s="26">
        <v>87</v>
      </c>
      <c r="E808" s="178">
        <f>'Commercial Block'!E1073</f>
        <v>130</v>
      </c>
      <c r="F808" s="182">
        <f t="shared" si="7"/>
        <v>11310</v>
      </c>
    </row>
    <row r="809" spans="1:5" ht="12.75">
      <c r="A809" s="244"/>
      <c r="B809" s="27"/>
      <c r="C809" s="19"/>
      <c r="D809" s="26"/>
      <c r="E809" s="178"/>
    </row>
    <row r="810" spans="1:5" ht="25.5">
      <c r="A810" s="244" t="s">
        <v>1629</v>
      </c>
      <c r="B810" s="27" t="s">
        <v>1630</v>
      </c>
      <c r="C810" s="19"/>
      <c r="D810" s="26"/>
      <c r="E810" s="178"/>
    </row>
    <row r="811" spans="1:6" ht="12.75">
      <c r="A811" s="244"/>
      <c r="B811" s="27" t="s">
        <v>1726</v>
      </c>
      <c r="C811" s="19" t="s">
        <v>1561</v>
      </c>
      <c r="D811" s="26">
        <v>1</v>
      </c>
      <c r="E811" s="178">
        <v>160</v>
      </c>
      <c r="F811" s="182">
        <f t="shared" si="7"/>
        <v>160</v>
      </c>
    </row>
    <row r="812" spans="1:6" ht="12.75">
      <c r="A812" s="244"/>
      <c r="B812" s="27" t="s">
        <v>1632</v>
      </c>
      <c r="C812" s="19" t="s">
        <v>1561</v>
      </c>
      <c r="D812" s="26">
        <v>11</v>
      </c>
      <c r="E812" s="178">
        <v>125</v>
      </c>
      <c r="F812" s="182">
        <f t="shared" si="7"/>
        <v>1375</v>
      </c>
    </row>
    <row r="813" spans="1:5" ht="12.75">
      <c r="A813" s="244"/>
      <c r="B813" s="27"/>
      <c r="C813" s="19"/>
      <c r="D813" s="26"/>
      <c r="E813" s="178"/>
    </row>
    <row r="814" spans="1:5" ht="12.75">
      <c r="A814" s="244">
        <v>10.4</v>
      </c>
      <c r="B814" s="27" t="s">
        <v>1633</v>
      </c>
      <c r="C814" s="19"/>
      <c r="D814" s="26"/>
      <c r="E814" s="178"/>
    </row>
    <row r="815" spans="1:5" ht="12.75">
      <c r="A815" s="244"/>
      <c r="B815" s="27"/>
      <c r="C815" s="19"/>
      <c r="D815" s="26"/>
      <c r="E815" s="178"/>
    </row>
    <row r="816" spans="1:6" ht="76.5">
      <c r="A816" s="244" t="s">
        <v>1634</v>
      </c>
      <c r="B816" s="27" t="s">
        <v>1635</v>
      </c>
      <c r="C816" s="19" t="s">
        <v>1636</v>
      </c>
      <c r="D816" s="26">
        <v>65</v>
      </c>
      <c r="E816" s="178">
        <f>'Commercial Block'!E1081</f>
        <v>380</v>
      </c>
      <c r="F816" s="182">
        <f t="shared" si="7"/>
        <v>24700</v>
      </c>
    </row>
    <row r="817" spans="1:5" ht="12.75">
      <c r="A817" s="244"/>
      <c r="B817" s="27"/>
      <c r="C817" s="19"/>
      <c r="D817" s="26"/>
      <c r="E817" s="178"/>
    </row>
    <row r="818" spans="1:5" ht="102">
      <c r="A818" s="244" t="s">
        <v>1637</v>
      </c>
      <c r="B818" s="27" t="s">
        <v>1638</v>
      </c>
      <c r="C818" s="19"/>
      <c r="D818" s="26"/>
      <c r="E818" s="178"/>
    </row>
    <row r="819" spans="1:6" ht="12.75">
      <c r="A819" s="244"/>
      <c r="B819" s="27" t="s">
        <v>1727</v>
      </c>
      <c r="C819" s="19" t="s">
        <v>92</v>
      </c>
      <c r="D819" s="26">
        <v>103</v>
      </c>
      <c r="E819" s="182">
        <v>400</v>
      </c>
      <c r="F819" s="182">
        <f t="shared" si="7"/>
        <v>41200</v>
      </c>
    </row>
    <row r="820" spans="1:4" ht="12.75">
      <c r="A820" s="244"/>
      <c r="B820" s="27"/>
      <c r="C820" s="19"/>
      <c r="D820" s="26"/>
    </row>
    <row r="821" spans="1:4" ht="51">
      <c r="A821" s="244" t="s">
        <v>1640</v>
      </c>
      <c r="B821" s="27" t="s">
        <v>1641</v>
      </c>
      <c r="C821" s="19"/>
      <c r="D821" s="26"/>
    </row>
    <row r="822" spans="1:4" ht="12.75">
      <c r="A822" s="244"/>
      <c r="B822" s="27" t="s">
        <v>1642</v>
      </c>
      <c r="C822" s="19"/>
      <c r="D822" s="26"/>
    </row>
    <row r="823" spans="1:4" ht="12.75">
      <c r="A823" s="244"/>
      <c r="B823" s="27" t="s">
        <v>227</v>
      </c>
      <c r="C823" s="19"/>
      <c r="D823" s="26"/>
    </row>
    <row r="824" spans="1:4" ht="12.75">
      <c r="A824" s="244"/>
      <c r="B824" s="27" t="s">
        <v>1644</v>
      </c>
      <c r="C824" s="19"/>
      <c r="D824" s="26"/>
    </row>
    <row r="825" spans="1:4" ht="12.75">
      <c r="A825" s="244"/>
      <c r="B825" s="27" t="s">
        <v>228</v>
      </c>
      <c r="C825" s="19"/>
      <c r="D825" s="26"/>
    </row>
    <row r="826" spans="1:4" ht="12.75">
      <c r="A826" s="244"/>
      <c r="B826" s="27" t="s">
        <v>229</v>
      </c>
      <c r="C826" s="19"/>
      <c r="D826" s="26"/>
    </row>
    <row r="827" spans="1:4" ht="25.5">
      <c r="A827" s="244"/>
      <c r="B827" s="27" t="s">
        <v>3181</v>
      </c>
      <c r="C827" s="19"/>
      <c r="D827" s="26"/>
    </row>
    <row r="828" spans="1:6" ht="12.75">
      <c r="A828" s="244"/>
      <c r="B828" s="27" t="s">
        <v>230</v>
      </c>
      <c r="C828" s="19" t="s">
        <v>2556</v>
      </c>
      <c r="D828" s="26">
        <v>2</v>
      </c>
      <c r="E828" s="182">
        <v>16200</v>
      </c>
      <c r="F828" s="182">
        <f t="shared" si="7"/>
        <v>32400</v>
      </c>
    </row>
    <row r="829" spans="1:4" ht="12.75">
      <c r="A829" s="244"/>
      <c r="B829" s="27"/>
      <c r="C829" s="19"/>
      <c r="D829" s="26"/>
    </row>
    <row r="830" spans="1:4" ht="38.25">
      <c r="A830" s="244" t="s">
        <v>3183</v>
      </c>
      <c r="B830" s="27" t="s">
        <v>3184</v>
      </c>
      <c r="C830" s="19"/>
      <c r="D830" s="26"/>
    </row>
    <row r="831" spans="1:4" ht="12.75">
      <c r="A831" s="244"/>
      <c r="B831" s="28" t="s">
        <v>2928</v>
      </c>
      <c r="C831" s="19" t="s">
        <v>2556</v>
      </c>
      <c r="D831" s="26">
        <v>1</v>
      </c>
    </row>
    <row r="832" spans="1:4" ht="12.75">
      <c r="A832" s="244"/>
      <c r="B832" s="28"/>
      <c r="C832" s="19"/>
      <c r="D832" s="26"/>
    </row>
    <row r="833" spans="1:4" ht="12.75">
      <c r="A833" s="244"/>
      <c r="B833" s="254" t="s">
        <v>3186</v>
      </c>
      <c r="C833" s="19"/>
      <c r="D833" s="26"/>
    </row>
    <row r="834" spans="1:6" ht="14.25">
      <c r="A834" s="244">
        <v>1.1</v>
      </c>
      <c r="B834" s="27" t="s">
        <v>3187</v>
      </c>
      <c r="C834" s="19" t="s">
        <v>1567</v>
      </c>
      <c r="D834" s="26">
        <v>81</v>
      </c>
      <c r="E834" s="465">
        <f>'Cost break dow.'!V33</f>
        <v>77.26276732569973</v>
      </c>
      <c r="F834" s="182">
        <f t="shared" si="7"/>
        <v>6258.284153381678</v>
      </c>
    </row>
    <row r="835" spans="1:6" ht="14.25">
      <c r="A835" s="244">
        <v>1.2</v>
      </c>
      <c r="B835" s="27" t="s">
        <v>3188</v>
      </c>
      <c r="C835" s="19" t="s">
        <v>1567</v>
      </c>
      <c r="D835" s="26">
        <v>114</v>
      </c>
      <c r="E835" s="465">
        <f>'Cost break dow.'!V38</f>
        <v>106.44199323197961</v>
      </c>
      <c r="F835" s="182">
        <f t="shared" si="7"/>
        <v>12134.387228445676</v>
      </c>
    </row>
    <row r="836" spans="1:6" ht="14.25">
      <c r="A836" s="244">
        <v>1.3</v>
      </c>
      <c r="B836" s="27" t="s">
        <v>3189</v>
      </c>
      <c r="C836" s="19" t="s">
        <v>1567</v>
      </c>
      <c r="D836" s="26">
        <v>8</v>
      </c>
      <c r="E836" s="465">
        <f>'Cost break dow.'!V48</f>
        <v>126.28523433499151</v>
      </c>
      <c r="F836" s="182">
        <f t="shared" si="7"/>
        <v>1010.2818746799321</v>
      </c>
    </row>
    <row r="837" spans="1:6" ht="14.25">
      <c r="A837" s="244">
        <v>1.4</v>
      </c>
      <c r="B837" s="27" t="s">
        <v>3190</v>
      </c>
      <c r="C837" s="19" t="s">
        <v>1567</v>
      </c>
      <c r="D837" s="26">
        <v>46</v>
      </c>
      <c r="E837" s="465">
        <f>E836</f>
        <v>126.28523433499151</v>
      </c>
      <c r="F837" s="182">
        <f t="shared" si="7"/>
        <v>5809.12077940961</v>
      </c>
    </row>
    <row r="838" spans="1:6" ht="14.25">
      <c r="A838" s="244">
        <v>1.6</v>
      </c>
      <c r="B838" s="27" t="s">
        <v>3191</v>
      </c>
      <c r="C838" s="19" t="s">
        <v>1567</v>
      </c>
      <c r="D838" s="26">
        <v>141</v>
      </c>
      <c r="E838" s="465">
        <f>'Cost break dow.'!V59</f>
        <v>128.5101460860932</v>
      </c>
      <c r="F838" s="182">
        <f t="shared" si="7"/>
        <v>18119.93059813914</v>
      </c>
    </row>
    <row r="839" spans="1:5" ht="12.75">
      <c r="A839" s="244"/>
      <c r="B839" s="254" t="s">
        <v>3192</v>
      </c>
      <c r="C839" s="19"/>
      <c r="D839" s="26"/>
      <c r="E839" s="465"/>
    </row>
    <row r="840" spans="1:6" ht="14.25">
      <c r="A840" s="244">
        <v>2.1</v>
      </c>
      <c r="B840" s="27" t="s">
        <v>3193</v>
      </c>
      <c r="C840" s="19" t="s">
        <v>1565</v>
      </c>
      <c r="D840" s="26">
        <v>40</v>
      </c>
      <c r="E840" s="465">
        <f>'Cost break dow.'!V74*0.05</f>
        <v>0</v>
      </c>
      <c r="F840" s="182">
        <f t="shared" si="7"/>
        <v>0</v>
      </c>
    </row>
    <row r="841" spans="1:5" ht="12.75">
      <c r="A841" s="244"/>
      <c r="B841" s="27" t="s">
        <v>3194</v>
      </c>
      <c r="C841" s="19"/>
      <c r="D841" s="26"/>
      <c r="E841" s="465"/>
    </row>
    <row r="842" spans="1:6" ht="14.25">
      <c r="A842" s="244">
        <v>2.2</v>
      </c>
      <c r="B842" s="27" t="s">
        <v>567</v>
      </c>
      <c r="C842" s="19" t="s">
        <v>1565</v>
      </c>
      <c r="D842" s="26">
        <v>40</v>
      </c>
      <c r="E842" s="465">
        <f>'Cost break dow.'!V93*0.2</f>
        <v>448.25226675876377</v>
      </c>
      <c r="F842" s="182">
        <f t="shared" si="7"/>
        <v>17930.09067035055</v>
      </c>
    </row>
    <row r="843" spans="1:6" ht="14.25">
      <c r="A843" s="244">
        <v>2.3</v>
      </c>
      <c r="B843" s="27" t="s">
        <v>568</v>
      </c>
      <c r="C843" s="19" t="s">
        <v>1565</v>
      </c>
      <c r="D843" s="26">
        <v>40</v>
      </c>
      <c r="E843" s="465">
        <f>'Cost break dow.'!V93*0.18</f>
        <v>403.42704008288734</v>
      </c>
      <c r="F843" s="182">
        <f t="shared" si="7"/>
        <v>16137.081603315493</v>
      </c>
    </row>
    <row r="844" spans="1:6" ht="12.75">
      <c r="A844" s="244">
        <v>2.4</v>
      </c>
      <c r="B844" s="27" t="s">
        <v>569</v>
      </c>
      <c r="C844" s="19" t="s">
        <v>2556</v>
      </c>
      <c r="D844" s="26">
        <v>3</v>
      </c>
      <c r="E844" s="465">
        <v>180</v>
      </c>
      <c r="F844" s="182">
        <f t="shared" si="7"/>
        <v>540</v>
      </c>
    </row>
    <row r="845" spans="1:5" ht="12.75">
      <c r="A845" s="244"/>
      <c r="B845" s="27" t="s">
        <v>570</v>
      </c>
      <c r="C845" s="19"/>
      <c r="D845" s="26"/>
      <c r="E845" s="465"/>
    </row>
    <row r="846" spans="1:6" ht="14.25">
      <c r="A846" s="244">
        <v>2.6</v>
      </c>
      <c r="B846" s="27" t="s">
        <v>571</v>
      </c>
      <c r="C846" s="19" t="s">
        <v>1565</v>
      </c>
      <c r="D846" s="26">
        <v>6</v>
      </c>
      <c r="E846" s="465">
        <f>'Cost break dow.'!V118</f>
        <v>290.32734629873335</v>
      </c>
      <c r="F846" s="182">
        <f t="shared" si="7"/>
        <v>1741.9640777924</v>
      </c>
    </row>
    <row r="847" spans="1:6" ht="14.25">
      <c r="A847" s="244">
        <v>2.7</v>
      </c>
      <c r="B847" s="27" t="s">
        <v>572</v>
      </c>
      <c r="C847" s="19" t="s">
        <v>1565</v>
      </c>
      <c r="D847" s="26">
        <v>45</v>
      </c>
      <c r="E847" s="465">
        <f>E846</f>
        <v>290.32734629873335</v>
      </c>
      <c r="F847" s="182">
        <f t="shared" si="7"/>
        <v>13064.730583443</v>
      </c>
    </row>
    <row r="848" spans="1:6" ht="14.25">
      <c r="A848" s="244">
        <v>2.9</v>
      </c>
      <c r="B848" s="27" t="s">
        <v>573</v>
      </c>
      <c r="C848" s="19" t="s">
        <v>1565</v>
      </c>
      <c r="D848" s="26">
        <v>2.1</v>
      </c>
      <c r="E848" s="465">
        <f>E847</f>
        <v>290.32734629873335</v>
      </c>
      <c r="F848" s="182">
        <f t="shared" si="7"/>
        <v>609.6874272273401</v>
      </c>
    </row>
    <row r="849" spans="1:5" ht="12.75">
      <c r="A849" s="244"/>
      <c r="B849" s="254" t="s">
        <v>574</v>
      </c>
      <c r="C849" s="19"/>
      <c r="D849" s="26"/>
      <c r="E849" s="465"/>
    </row>
    <row r="850" spans="1:6" ht="12.75">
      <c r="A850" s="244">
        <v>2.1</v>
      </c>
      <c r="B850" s="27" t="s">
        <v>575</v>
      </c>
      <c r="C850" s="19" t="s">
        <v>86</v>
      </c>
      <c r="D850" s="26">
        <v>630</v>
      </c>
      <c r="E850" s="465">
        <f>'Cost break dow.'!V125</f>
        <v>28.227542033120493</v>
      </c>
      <c r="F850" s="182">
        <f t="shared" si="7"/>
        <v>17783.35148086591</v>
      </c>
    </row>
    <row r="851" spans="1:6" ht="12.75">
      <c r="A851" s="244">
        <v>2.11</v>
      </c>
      <c r="B851" s="27" t="s">
        <v>576</v>
      </c>
      <c r="C851" s="19" t="s">
        <v>86</v>
      </c>
      <c r="D851" s="26">
        <v>100</v>
      </c>
      <c r="E851" s="465">
        <f>E850</f>
        <v>28.227542033120493</v>
      </c>
      <c r="F851" s="182">
        <f t="shared" si="7"/>
        <v>2822.7542033120494</v>
      </c>
    </row>
    <row r="852" spans="1:6" ht="12.75">
      <c r="A852" s="244">
        <v>2.12</v>
      </c>
      <c r="B852" s="27" t="s">
        <v>577</v>
      </c>
      <c r="C852" s="19" t="s">
        <v>86</v>
      </c>
      <c r="D852" s="26">
        <v>17</v>
      </c>
      <c r="E852" s="465">
        <f>E851</f>
        <v>28.227542033120493</v>
      </c>
      <c r="F852" s="182">
        <f t="shared" si="7"/>
        <v>479.86821456304835</v>
      </c>
    </row>
    <row r="853" spans="1:6" ht="12.75">
      <c r="A853" s="244">
        <v>2.13</v>
      </c>
      <c r="B853" s="27" t="s">
        <v>578</v>
      </c>
      <c r="C853" s="19" t="s">
        <v>86</v>
      </c>
      <c r="D853" s="26">
        <v>146</v>
      </c>
      <c r="E853" s="465">
        <f>E852</f>
        <v>28.227542033120493</v>
      </c>
      <c r="F853" s="182">
        <f t="shared" si="7"/>
        <v>4121.221136835592</v>
      </c>
    </row>
    <row r="854" spans="1:5" ht="12.75">
      <c r="A854" s="244"/>
      <c r="B854" s="254" t="s">
        <v>579</v>
      </c>
      <c r="C854" s="19"/>
      <c r="D854" s="26"/>
      <c r="E854" s="465"/>
    </row>
    <row r="855" spans="1:6" ht="14.25">
      <c r="A855" s="244">
        <v>3.1</v>
      </c>
      <c r="B855" s="27" t="s">
        <v>580</v>
      </c>
      <c r="C855" s="19" t="s">
        <v>1567</v>
      </c>
      <c r="D855" s="26">
        <v>56</v>
      </c>
      <c r="E855" s="465">
        <f>'Cost break dow.'!V136</f>
        <v>1408.680881909492</v>
      </c>
      <c r="F855" s="182">
        <f t="shared" si="7"/>
        <v>78886.12938693156</v>
      </c>
    </row>
    <row r="856" spans="1:5" ht="12.75">
      <c r="A856" s="244"/>
      <c r="B856" s="254" t="s">
        <v>581</v>
      </c>
      <c r="C856" s="19"/>
      <c r="D856" s="26"/>
      <c r="E856" s="465"/>
    </row>
    <row r="857" spans="1:6" ht="14.25">
      <c r="A857" s="244">
        <v>4.1</v>
      </c>
      <c r="B857" s="27" t="s">
        <v>582</v>
      </c>
      <c r="C857" s="19" t="s">
        <v>1565</v>
      </c>
      <c r="D857" s="26">
        <v>18</v>
      </c>
      <c r="E857" s="465">
        <f>'Cost break dow.'!V160</f>
        <v>0</v>
      </c>
      <c r="F857" s="182">
        <f t="shared" si="7"/>
        <v>0</v>
      </c>
    </row>
    <row r="858" spans="1:6" s="263" customFormat="1" ht="12.75">
      <c r="A858" s="262"/>
      <c r="B858" s="254" t="s">
        <v>583</v>
      </c>
      <c r="C858" s="259"/>
      <c r="D858" s="260"/>
      <c r="E858" s="465"/>
      <c r="F858" s="182"/>
    </row>
    <row r="859" spans="1:6" ht="14.25">
      <c r="A859" s="244">
        <v>5.1</v>
      </c>
      <c r="B859" s="27" t="s">
        <v>584</v>
      </c>
      <c r="C859" s="19" t="s">
        <v>1565</v>
      </c>
      <c r="D859" s="26">
        <v>72</v>
      </c>
      <c r="E859" s="465">
        <f>'Cost break dow.'!V336</f>
        <v>159.96728093410925</v>
      </c>
      <c r="F859" s="182">
        <f t="shared" si="7"/>
        <v>11517.644227255867</v>
      </c>
    </row>
    <row r="860" spans="1:6" ht="14.25">
      <c r="A860" s="244">
        <v>5.2</v>
      </c>
      <c r="B860" s="27" t="s">
        <v>585</v>
      </c>
      <c r="C860" s="19" t="s">
        <v>1565</v>
      </c>
      <c r="D860" s="26">
        <v>84</v>
      </c>
      <c r="E860" s="465">
        <f>E859</f>
        <v>159.96728093410925</v>
      </c>
      <c r="F860" s="182">
        <f t="shared" si="7"/>
        <v>13437.251598465178</v>
      </c>
    </row>
    <row r="861" spans="1:5" ht="12.75">
      <c r="A861" s="244"/>
      <c r="B861" s="254" t="s">
        <v>586</v>
      </c>
      <c r="C861" s="19"/>
      <c r="D861" s="26"/>
      <c r="E861" s="465"/>
    </row>
    <row r="862" spans="1:6" ht="12.75">
      <c r="A862" s="244">
        <v>6.1</v>
      </c>
      <c r="B862" s="27" t="s">
        <v>587</v>
      </c>
      <c r="C862" s="19" t="s">
        <v>2556</v>
      </c>
      <c r="D862" s="26">
        <v>2</v>
      </c>
      <c r="E862" s="465">
        <v>250</v>
      </c>
      <c r="F862" s="182">
        <f t="shared" si="7"/>
        <v>500</v>
      </c>
    </row>
    <row r="863" spans="1:6" ht="12.75">
      <c r="A863" s="244">
        <v>6.2</v>
      </c>
      <c r="B863" s="27" t="s">
        <v>588</v>
      </c>
      <c r="C863" s="19" t="s">
        <v>2556</v>
      </c>
      <c r="D863" s="26">
        <v>2</v>
      </c>
      <c r="E863" s="465">
        <v>250</v>
      </c>
      <c r="F863" s="182">
        <f t="shared" si="7"/>
        <v>500</v>
      </c>
    </row>
    <row r="864" spans="1:5" ht="12.75">
      <c r="A864" s="244"/>
      <c r="B864" s="27"/>
      <c r="C864" s="19"/>
      <c r="D864" s="26"/>
      <c r="E864" s="465"/>
    </row>
    <row r="865" spans="1:5" ht="12.75">
      <c r="A865" s="244"/>
      <c r="B865" s="27"/>
      <c r="C865" s="19"/>
      <c r="D865" s="26"/>
      <c r="E865" s="465"/>
    </row>
    <row r="866" spans="1:5" ht="12.75">
      <c r="A866" s="244" t="s">
        <v>589</v>
      </c>
      <c r="B866" s="27" t="s">
        <v>590</v>
      </c>
      <c r="C866" s="19"/>
      <c r="D866" s="26"/>
      <c r="E866" s="465"/>
    </row>
    <row r="867" spans="1:6" ht="12.75">
      <c r="A867" s="244"/>
      <c r="B867" s="27" t="s">
        <v>591</v>
      </c>
      <c r="C867" s="19" t="s">
        <v>2556</v>
      </c>
      <c r="D867" s="26">
        <v>3</v>
      </c>
      <c r="E867" s="465">
        <v>11200</v>
      </c>
      <c r="F867" s="182">
        <f>D867*E867</f>
        <v>33600</v>
      </c>
    </row>
    <row r="868" spans="1:5" ht="12.75">
      <c r="A868" s="244"/>
      <c r="B868" s="27"/>
      <c r="C868" s="19"/>
      <c r="D868" s="26"/>
      <c r="E868" s="465"/>
    </row>
    <row r="869" spans="1:5" ht="63.75">
      <c r="A869" s="244" t="s">
        <v>592</v>
      </c>
      <c r="B869" s="27" t="s">
        <v>593</v>
      </c>
      <c r="C869" s="19"/>
      <c r="D869" s="26"/>
      <c r="E869" s="465"/>
    </row>
    <row r="870" spans="1:6" ht="12.75">
      <c r="A870" s="244"/>
      <c r="B870" s="27" t="s">
        <v>594</v>
      </c>
      <c r="C870" s="19" t="s">
        <v>92</v>
      </c>
      <c r="D870" s="26">
        <v>9</v>
      </c>
      <c r="E870" s="465">
        <v>70</v>
      </c>
      <c r="F870" s="182">
        <f>D870*E870</f>
        <v>630</v>
      </c>
    </row>
    <row r="871" spans="1:6" ht="12.75">
      <c r="A871" s="244"/>
      <c r="B871" s="27" t="s">
        <v>595</v>
      </c>
      <c r="C871" s="19" t="s">
        <v>92</v>
      </c>
      <c r="D871" s="26">
        <v>34</v>
      </c>
      <c r="E871" s="465">
        <v>90</v>
      </c>
      <c r="F871" s="182">
        <f>D871*E871</f>
        <v>3060</v>
      </c>
    </row>
    <row r="872" spans="1:6" ht="12.75">
      <c r="A872" s="244"/>
      <c r="B872" s="27" t="s">
        <v>231</v>
      </c>
      <c r="C872" s="19" t="s">
        <v>92</v>
      </c>
      <c r="D872" s="26">
        <v>7</v>
      </c>
      <c r="E872" s="465">
        <v>120</v>
      </c>
      <c r="F872" s="182">
        <f>D872*E872</f>
        <v>840</v>
      </c>
    </row>
    <row r="873" spans="1:5" ht="12.75">
      <c r="A873" s="244"/>
      <c r="B873" s="27"/>
      <c r="C873" s="19"/>
      <c r="D873" s="26"/>
      <c r="E873" s="465"/>
    </row>
    <row r="874" spans="1:5" ht="38.25">
      <c r="A874" s="244" t="s">
        <v>596</v>
      </c>
      <c r="B874" s="27" t="s">
        <v>597</v>
      </c>
      <c r="C874" s="19"/>
      <c r="D874" s="26"/>
      <c r="E874" s="465"/>
    </row>
    <row r="875" spans="1:6" ht="12.75">
      <c r="A875" s="244"/>
      <c r="B875" s="27" t="s">
        <v>598</v>
      </c>
      <c r="C875" s="19" t="s">
        <v>599</v>
      </c>
      <c r="D875" s="26">
        <v>4</v>
      </c>
      <c r="E875" s="465">
        <v>60</v>
      </c>
      <c r="F875" s="182">
        <f>D875*E875</f>
        <v>240</v>
      </c>
    </row>
    <row r="876" spans="1:5" ht="12.75">
      <c r="A876" s="244"/>
      <c r="B876" s="27"/>
      <c r="C876" s="19"/>
      <c r="D876" s="26"/>
      <c r="E876" s="465"/>
    </row>
    <row r="877" spans="1:5" ht="89.25">
      <c r="A877" s="244" t="s">
        <v>600</v>
      </c>
      <c r="B877" s="27" t="s">
        <v>1194</v>
      </c>
      <c r="C877" s="19"/>
      <c r="D877" s="26"/>
      <c r="E877" s="465"/>
    </row>
    <row r="878" spans="1:5" ht="12.75">
      <c r="A878" s="244"/>
      <c r="B878" s="27" t="s">
        <v>1195</v>
      </c>
      <c r="C878" s="19"/>
      <c r="D878" s="26"/>
      <c r="E878" s="465"/>
    </row>
    <row r="879" spans="1:6" ht="12.75">
      <c r="A879" s="244"/>
      <c r="B879" s="27" t="s">
        <v>1196</v>
      </c>
      <c r="C879" s="19" t="s">
        <v>2556</v>
      </c>
      <c r="D879" s="26">
        <v>3</v>
      </c>
      <c r="E879" s="465">
        <v>550</v>
      </c>
      <c r="F879" s="182">
        <f>D879*E879</f>
        <v>1650</v>
      </c>
    </row>
    <row r="880" spans="1:5" ht="12.75">
      <c r="A880" s="244"/>
      <c r="B880" s="27" t="s">
        <v>1197</v>
      </c>
      <c r="C880" s="19"/>
      <c r="D880" s="26"/>
      <c r="E880" s="465"/>
    </row>
    <row r="881" spans="1:6" ht="12.75">
      <c r="A881" s="244"/>
      <c r="B881" s="27" t="s">
        <v>1198</v>
      </c>
      <c r="C881" s="19" t="s">
        <v>2556</v>
      </c>
      <c r="D881" s="26">
        <v>2</v>
      </c>
      <c r="E881" s="465">
        <v>950</v>
      </c>
      <c r="F881" s="182">
        <f>D881*E881</f>
        <v>1900</v>
      </c>
    </row>
    <row r="882" spans="1:5" ht="12.75">
      <c r="A882" s="244"/>
      <c r="B882" s="27"/>
      <c r="C882" s="19"/>
      <c r="D882" s="26"/>
      <c r="E882" s="465"/>
    </row>
    <row r="883" spans="1:5" ht="25.5">
      <c r="A883" s="244" t="s">
        <v>1199</v>
      </c>
      <c r="B883" s="27" t="s">
        <v>1200</v>
      </c>
      <c r="C883" s="19"/>
      <c r="D883" s="26"/>
      <c r="E883" s="465"/>
    </row>
    <row r="884" spans="1:5" ht="12.75">
      <c r="A884" s="244"/>
      <c r="B884" s="27" t="s">
        <v>1195</v>
      </c>
      <c r="C884" s="19"/>
      <c r="D884" s="26"/>
      <c r="E884" s="465"/>
    </row>
    <row r="885" spans="1:6" ht="12.75">
      <c r="A885" s="244"/>
      <c r="B885" s="27" t="s">
        <v>1196</v>
      </c>
      <c r="C885" s="19" t="s">
        <v>2556</v>
      </c>
      <c r="D885" s="26">
        <v>1</v>
      </c>
      <c r="E885" s="465">
        <v>550</v>
      </c>
      <c r="F885" s="182">
        <f>D885*E885</f>
        <v>550</v>
      </c>
    </row>
    <row r="886" spans="1:5" ht="12.75">
      <c r="A886" s="244"/>
      <c r="B886" s="27"/>
      <c r="C886" s="19"/>
      <c r="D886" s="26"/>
      <c r="E886" s="465"/>
    </row>
    <row r="887" spans="1:5" ht="25.5">
      <c r="A887" s="244" t="s">
        <v>2053</v>
      </c>
      <c r="B887" s="27" t="s">
        <v>2054</v>
      </c>
      <c r="C887" s="19"/>
      <c r="D887" s="26"/>
      <c r="E887" s="465"/>
    </row>
    <row r="888" spans="1:6" ht="12.75">
      <c r="A888" s="244"/>
      <c r="B888" s="27" t="s">
        <v>1195</v>
      </c>
      <c r="C888" s="19"/>
      <c r="D888" s="26"/>
      <c r="E888" s="465"/>
      <c r="F888" s="182">
        <f>D888*E888</f>
        <v>0</v>
      </c>
    </row>
    <row r="889" spans="1:6" ht="12.75">
      <c r="A889" s="244"/>
      <c r="B889" s="27" t="s">
        <v>1196</v>
      </c>
      <c r="C889" s="19" t="s">
        <v>2556</v>
      </c>
      <c r="D889" s="26">
        <v>5</v>
      </c>
      <c r="E889" s="465">
        <v>950</v>
      </c>
      <c r="F889" s="182">
        <f>D889*E889</f>
        <v>4750</v>
      </c>
    </row>
    <row r="890" spans="1:5" ht="12.75">
      <c r="A890" s="244"/>
      <c r="B890" s="27"/>
      <c r="C890" s="19"/>
      <c r="D890" s="26"/>
      <c r="E890" s="465"/>
    </row>
    <row r="891" spans="1:5" ht="51">
      <c r="A891" s="244" t="s">
        <v>2055</v>
      </c>
      <c r="B891" s="27" t="s">
        <v>2056</v>
      </c>
      <c r="C891" s="19"/>
      <c r="D891" s="26"/>
      <c r="E891" s="465"/>
    </row>
    <row r="892" spans="1:6" ht="12.75">
      <c r="A892" s="244"/>
      <c r="B892" s="27" t="s">
        <v>2103</v>
      </c>
      <c r="C892" s="19" t="s">
        <v>1636</v>
      </c>
      <c r="D892" s="26">
        <v>38</v>
      </c>
      <c r="E892" s="465">
        <v>150</v>
      </c>
      <c r="F892" s="182">
        <f>D892*E892</f>
        <v>5700</v>
      </c>
    </row>
    <row r="893" spans="1:6" ht="12.75">
      <c r="A893" s="244"/>
      <c r="B893" s="27" t="s">
        <v>2104</v>
      </c>
      <c r="C893" s="19" t="s">
        <v>1636</v>
      </c>
      <c r="D893" s="26">
        <v>74</v>
      </c>
      <c r="E893" s="465">
        <v>200</v>
      </c>
      <c r="F893" s="182">
        <f>D893*E893</f>
        <v>14800</v>
      </c>
    </row>
    <row r="894" spans="1:5" ht="12.75">
      <c r="A894" s="244"/>
      <c r="B894" s="27"/>
      <c r="C894" s="19"/>
      <c r="D894" s="26"/>
      <c r="E894" s="465"/>
    </row>
    <row r="895" spans="1:5" ht="25.5">
      <c r="A895" s="244" t="s">
        <v>2105</v>
      </c>
      <c r="B895" s="27" t="s">
        <v>2106</v>
      </c>
      <c r="C895" s="19"/>
      <c r="D895" s="26"/>
      <c r="E895" s="465"/>
    </row>
    <row r="896" spans="1:6" ht="12.75">
      <c r="A896" s="244"/>
      <c r="B896" s="27" t="s">
        <v>2103</v>
      </c>
      <c r="C896" s="19" t="s">
        <v>1636</v>
      </c>
      <c r="D896" s="26">
        <v>11</v>
      </c>
      <c r="E896" s="465">
        <v>150</v>
      </c>
      <c r="F896" s="182">
        <f>D896*E896</f>
        <v>1650</v>
      </c>
    </row>
    <row r="897" spans="1:6" ht="12.75">
      <c r="A897" s="244"/>
      <c r="B897" s="27" t="s">
        <v>2104</v>
      </c>
      <c r="C897" s="19" t="s">
        <v>1636</v>
      </c>
      <c r="D897" s="26">
        <v>24</v>
      </c>
      <c r="E897" s="465">
        <v>200</v>
      </c>
      <c r="F897" s="182">
        <f>D897*E897</f>
        <v>4800</v>
      </c>
    </row>
    <row r="898" spans="1:4" ht="12.75">
      <c r="A898" s="244"/>
      <c r="B898" s="27"/>
      <c r="C898" s="19"/>
      <c r="D898" s="26"/>
    </row>
    <row r="899" spans="1:7" s="43" customFormat="1" ht="12.75">
      <c r="A899" s="81"/>
      <c r="B899" s="490" t="s">
        <v>1573</v>
      </c>
      <c r="C899" s="5"/>
      <c r="D899" s="491"/>
      <c r="E899" s="432"/>
      <c r="F899" s="184">
        <f>SUM(F735:F898)</f>
        <v>998308.0542232019</v>
      </c>
      <c r="G899" s="72"/>
    </row>
    <row r="900" spans="1:4" ht="12.75">
      <c r="A900" s="55"/>
      <c r="B900" s="63"/>
      <c r="C900" s="63"/>
      <c r="D900" s="68"/>
    </row>
    <row r="901" spans="1:4" ht="12.75">
      <c r="A901" s="55"/>
      <c r="B901" s="63"/>
      <c r="C901" s="63"/>
      <c r="D901" s="68"/>
    </row>
    <row r="902" spans="1:4" ht="12.75">
      <c r="A902" s="55"/>
      <c r="B902" s="63"/>
      <c r="C902" s="63"/>
      <c r="D902" s="68"/>
    </row>
    <row r="903" spans="1:4" ht="12.75">
      <c r="A903" s="55"/>
      <c r="B903" s="63"/>
      <c r="C903" s="63"/>
      <c r="D903" s="68"/>
    </row>
    <row r="904" spans="1:4" ht="12.75">
      <c r="A904" s="55"/>
      <c r="B904" s="63"/>
      <c r="C904" s="63"/>
      <c r="D904" s="68"/>
    </row>
    <row r="905" spans="1:4" ht="12.75">
      <c r="A905" s="55"/>
      <c r="B905" s="63"/>
      <c r="C905" s="63"/>
      <c r="D905" s="68"/>
    </row>
    <row r="906" spans="1:4" ht="12.75">
      <c r="A906" s="55"/>
      <c r="B906" s="63"/>
      <c r="C906" s="63"/>
      <c r="D906" s="68"/>
    </row>
    <row r="907" spans="1:4" ht="12.75">
      <c r="A907" s="55"/>
      <c r="B907" s="63"/>
      <c r="C907" s="63"/>
      <c r="D907" s="68"/>
    </row>
    <row r="908" spans="1:4" ht="12.75">
      <c r="A908" s="55"/>
      <c r="B908" s="63"/>
      <c r="C908" s="63"/>
      <c r="D908" s="68"/>
    </row>
    <row r="909" spans="1:4" ht="12.75">
      <c r="A909" s="55"/>
      <c r="B909" s="63"/>
      <c r="C909" s="63"/>
      <c r="D909" s="68"/>
    </row>
    <row r="910" spans="1:4" ht="12.75">
      <c r="A910" s="55"/>
      <c r="B910" s="63"/>
      <c r="C910" s="63"/>
      <c r="D910" s="68"/>
    </row>
    <row r="911" spans="1:4" ht="12.75">
      <c r="A911" s="55"/>
      <c r="B911" s="63"/>
      <c r="C911" s="63"/>
      <c r="D911" s="68"/>
    </row>
    <row r="912" spans="1:4" ht="12.75">
      <c r="A912" s="55"/>
      <c r="B912" s="63"/>
      <c r="C912" s="63"/>
      <c r="D912" s="68"/>
    </row>
    <row r="913" spans="1:4" ht="12.75">
      <c r="A913" s="55"/>
      <c r="B913" s="63"/>
      <c r="C913" s="63"/>
      <c r="D913" s="68"/>
    </row>
    <row r="914" spans="1:4" ht="12.75">
      <c r="A914" s="55"/>
      <c r="B914" s="63"/>
      <c r="C914" s="63"/>
      <c r="D914" s="68"/>
    </row>
    <row r="915" spans="1:4" ht="12.75">
      <c r="A915" s="55"/>
      <c r="B915" s="63"/>
      <c r="C915" s="63"/>
      <c r="D915" s="68"/>
    </row>
    <row r="916" spans="1:4" ht="12.75">
      <c r="A916" s="55"/>
      <c r="B916" s="63"/>
      <c r="C916" s="63"/>
      <c r="D916" s="68"/>
    </row>
    <row r="917" spans="1:4" ht="12.75">
      <c r="A917" s="55"/>
      <c r="B917" s="63"/>
      <c r="C917" s="63"/>
      <c r="D917" s="68"/>
    </row>
    <row r="918" spans="1:4" ht="12.75">
      <c r="A918" s="55"/>
      <c r="B918" s="63"/>
      <c r="C918" s="63"/>
      <c r="D918" s="68"/>
    </row>
    <row r="919" spans="1:4" ht="12.75">
      <c r="A919" s="55"/>
      <c r="B919" s="63"/>
      <c r="C919" s="63"/>
      <c r="D919" s="68"/>
    </row>
    <row r="920" spans="1:4" ht="12.75">
      <c r="A920" s="55"/>
      <c r="B920" s="63"/>
      <c r="C920" s="63"/>
      <c r="D920" s="68"/>
    </row>
    <row r="921" spans="1:4" ht="12.75">
      <c r="A921" s="55"/>
      <c r="B921" s="63"/>
      <c r="C921" s="63"/>
      <c r="D921" s="68"/>
    </row>
    <row r="922" spans="1:4" ht="12.75">
      <c r="A922" s="55"/>
      <c r="B922" s="63"/>
      <c r="C922" s="63"/>
      <c r="D922" s="68"/>
    </row>
    <row r="923" spans="2:4" ht="12.75">
      <c r="B923" s="43"/>
      <c r="C923" s="43"/>
      <c r="D923" s="74"/>
    </row>
    <row r="924" spans="2:4" ht="12.75">
      <c r="B924" s="43"/>
      <c r="C924" s="43"/>
      <c r="D924" s="74"/>
    </row>
    <row r="925" spans="2:4" ht="12.75">
      <c r="B925" s="43"/>
      <c r="C925" s="43"/>
      <c r="D925" s="74"/>
    </row>
    <row r="926" spans="2:4" ht="12.75">
      <c r="B926" s="43"/>
      <c r="C926" s="43"/>
      <c r="D926" s="74"/>
    </row>
    <row r="927" spans="2:4" ht="12.75">
      <c r="B927" s="43"/>
      <c r="C927" s="43"/>
      <c r="D927" s="74"/>
    </row>
    <row r="928" spans="2:4" ht="12.75">
      <c r="B928" s="43"/>
      <c r="C928" s="43"/>
      <c r="D928" s="74"/>
    </row>
    <row r="929" spans="2:4" ht="12.75">
      <c r="B929" s="43"/>
      <c r="C929" s="43"/>
      <c r="D929" s="74"/>
    </row>
    <row r="930" spans="2:4" ht="12.75">
      <c r="B930" s="43"/>
      <c r="C930" s="43"/>
      <c r="D930" s="74"/>
    </row>
    <row r="931" spans="2:4" ht="12.75">
      <c r="B931" s="43"/>
      <c r="C931" s="43"/>
      <c r="D931" s="74"/>
    </row>
    <row r="932" spans="2:4" ht="12.75">
      <c r="B932" s="43"/>
      <c r="C932" s="43"/>
      <c r="D932" s="74"/>
    </row>
    <row r="933" spans="2:4" ht="12.75">
      <c r="B933" s="43"/>
      <c r="C933" s="43"/>
      <c r="D933" s="74"/>
    </row>
    <row r="934" spans="2:4" ht="12.75">
      <c r="B934" s="43"/>
      <c r="C934" s="43"/>
      <c r="D934" s="74"/>
    </row>
    <row r="935" spans="2:4" ht="12.75">
      <c r="B935" s="43"/>
      <c r="C935" s="43"/>
      <c r="D935" s="74"/>
    </row>
    <row r="936" spans="2:4" ht="12.75">
      <c r="B936" s="43"/>
      <c r="C936" s="43"/>
      <c r="D936" s="74"/>
    </row>
    <row r="937" spans="2:4" ht="12.75">
      <c r="B937" s="43"/>
      <c r="C937" s="43"/>
      <c r="D937" s="74"/>
    </row>
    <row r="938" spans="2:4" ht="12.75">
      <c r="B938" s="43"/>
      <c r="C938" s="43"/>
      <c r="D938" s="74"/>
    </row>
    <row r="939" spans="2:4" ht="12.75">
      <c r="B939" s="43"/>
      <c r="C939" s="43"/>
      <c r="D939" s="74"/>
    </row>
    <row r="940" spans="2:4" ht="12.75">
      <c r="B940" s="43"/>
      <c r="C940" s="43"/>
      <c r="D940" s="74"/>
    </row>
    <row r="941" spans="2:4" ht="12.75">
      <c r="B941" s="43"/>
      <c r="C941" s="43"/>
      <c r="D941" s="74"/>
    </row>
    <row r="942" spans="2:4" ht="12.75">
      <c r="B942" s="43"/>
      <c r="C942" s="43"/>
      <c r="D942" s="74"/>
    </row>
    <row r="943" spans="2:4" ht="12.75">
      <c r="B943" s="43"/>
      <c r="C943" s="43"/>
      <c r="D943" s="74"/>
    </row>
    <row r="944" spans="2:4" ht="12.75">
      <c r="B944" s="43"/>
      <c r="C944" s="43"/>
      <c r="D944" s="74"/>
    </row>
    <row r="945" spans="2:4" ht="12.75">
      <c r="B945" s="43"/>
      <c r="C945" s="43"/>
      <c r="D945" s="74"/>
    </row>
    <row r="946" spans="2:4" ht="12.75">
      <c r="B946" s="43"/>
      <c r="C946" s="43"/>
      <c r="D946" s="74"/>
    </row>
    <row r="947" spans="2:4" ht="12.75">
      <c r="B947" s="43"/>
      <c r="C947" s="43"/>
      <c r="D947" s="74"/>
    </row>
    <row r="948" spans="2:4" ht="12.75">
      <c r="B948" s="43"/>
      <c r="C948" s="43"/>
      <c r="D948" s="74"/>
    </row>
    <row r="949" spans="2:4" ht="12.75">
      <c r="B949" s="43"/>
      <c r="C949" s="43"/>
      <c r="D949" s="74"/>
    </row>
    <row r="950" spans="2:4" ht="12.75">
      <c r="B950" s="43"/>
      <c r="C950" s="43"/>
      <c r="D950" s="74"/>
    </row>
    <row r="951" spans="2:4" ht="12.75">
      <c r="B951" s="43"/>
      <c r="C951" s="43"/>
      <c r="D951" s="74"/>
    </row>
    <row r="952" spans="2:4" ht="12.75">
      <c r="B952" s="43"/>
      <c r="C952" s="43"/>
      <c r="D952" s="74"/>
    </row>
    <row r="953" spans="2:4" ht="12.75">
      <c r="B953" s="43"/>
      <c r="C953" s="43"/>
      <c r="D953" s="74"/>
    </row>
    <row r="954" spans="2:4" ht="12.75">
      <c r="B954" s="43"/>
      <c r="C954" s="43"/>
      <c r="D954" s="74"/>
    </row>
    <row r="955" spans="2:4" ht="12.75">
      <c r="B955" s="43"/>
      <c r="C955" s="43"/>
      <c r="D955" s="74"/>
    </row>
    <row r="956" spans="2:4" ht="12.75">
      <c r="B956" s="43"/>
      <c r="C956" s="43"/>
      <c r="D956" s="74"/>
    </row>
    <row r="957" spans="2:4" ht="12.75">
      <c r="B957" s="43"/>
      <c r="C957" s="43"/>
      <c r="D957" s="74"/>
    </row>
    <row r="958" spans="2:4" ht="12.75">
      <c r="B958" s="43"/>
      <c r="C958" s="43"/>
      <c r="D958" s="74"/>
    </row>
    <row r="959" spans="2:4" ht="12.75">
      <c r="B959" s="43"/>
      <c r="C959" s="43"/>
      <c r="D959" s="74"/>
    </row>
    <row r="960" spans="2:4" ht="12.75">
      <c r="B960" s="43"/>
      <c r="C960" s="43"/>
      <c r="D960" s="74"/>
    </row>
    <row r="961" spans="2:4" ht="12.75">
      <c r="B961" s="43"/>
      <c r="C961" s="43"/>
      <c r="D961" s="74"/>
    </row>
    <row r="962" spans="2:4" ht="12.75">
      <c r="B962" s="43"/>
      <c r="C962" s="43"/>
      <c r="D962" s="74"/>
    </row>
    <row r="963" spans="2:4" ht="12.75">
      <c r="B963" s="43"/>
      <c r="C963" s="43"/>
      <c r="D963" s="74"/>
    </row>
    <row r="964" spans="2:4" ht="12.75">
      <c r="B964" s="43"/>
      <c r="C964" s="43"/>
      <c r="D964" s="74"/>
    </row>
    <row r="965" spans="2:4" ht="12.75">
      <c r="B965" s="43"/>
      <c r="C965" s="43"/>
      <c r="D965" s="74"/>
    </row>
    <row r="966" spans="2:4" ht="12.75">
      <c r="B966" s="43"/>
      <c r="C966" s="43"/>
      <c r="D966" s="74"/>
    </row>
    <row r="967" spans="2:4" ht="12.75">
      <c r="B967" s="43"/>
      <c r="C967" s="43"/>
      <c r="D967" s="74"/>
    </row>
    <row r="968" spans="2:4" ht="12.75">
      <c r="B968" s="43"/>
      <c r="C968" s="43"/>
      <c r="D968" s="74"/>
    </row>
    <row r="969" spans="2:4" ht="12.75">
      <c r="B969" s="43"/>
      <c r="C969" s="43"/>
      <c r="D969" s="74"/>
    </row>
    <row r="970" spans="2:4" ht="12.75">
      <c r="B970" s="43"/>
      <c r="C970" s="43"/>
      <c r="D970" s="74"/>
    </row>
    <row r="971" spans="2:4" ht="12.75">
      <c r="B971" s="43"/>
      <c r="C971" s="43"/>
      <c r="D971" s="74"/>
    </row>
    <row r="972" spans="2:4" ht="12.75">
      <c r="B972" s="43"/>
      <c r="C972" s="43"/>
      <c r="D972" s="74"/>
    </row>
    <row r="973" spans="2:4" ht="12.75">
      <c r="B973" s="43"/>
      <c r="C973" s="43"/>
      <c r="D973" s="74"/>
    </row>
    <row r="974" spans="2:4" ht="12.75">
      <c r="B974" s="43"/>
      <c r="C974" s="43"/>
      <c r="D974" s="74"/>
    </row>
    <row r="975" spans="2:4" ht="12.75">
      <c r="B975" s="43"/>
      <c r="C975" s="43"/>
      <c r="D975" s="74"/>
    </row>
    <row r="976" spans="2:4" ht="12.75">
      <c r="B976" s="43"/>
      <c r="C976" s="43"/>
      <c r="D976" s="74"/>
    </row>
    <row r="977" spans="2:4" ht="12.75">
      <c r="B977" s="43"/>
      <c r="C977" s="43"/>
      <c r="D977" s="74"/>
    </row>
    <row r="978" spans="2:4" ht="12.75">
      <c r="B978" s="43"/>
      <c r="C978" s="43"/>
      <c r="D978" s="74"/>
    </row>
    <row r="979" spans="2:4" ht="12.75">
      <c r="B979" s="43"/>
      <c r="C979" s="43"/>
      <c r="D979" s="74"/>
    </row>
    <row r="980" spans="2:4" ht="12.75">
      <c r="B980" s="43"/>
      <c r="C980" s="43"/>
      <c r="D980" s="74"/>
    </row>
    <row r="981" spans="2:4" ht="12.75">
      <c r="B981" s="43"/>
      <c r="C981" s="43"/>
      <c r="D981" s="74"/>
    </row>
    <row r="982" spans="2:4" ht="12.75">
      <c r="B982" s="43"/>
      <c r="C982" s="43"/>
      <c r="D982" s="74"/>
    </row>
    <row r="983" spans="2:4" ht="12.75">
      <c r="B983" s="43"/>
      <c r="C983" s="43"/>
      <c r="D983" s="74"/>
    </row>
    <row r="984" spans="2:4" ht="12.75">
      <c r="B984" s="43"/>
      <c r="C984" s="43"/>
      <c r="D984" s="74"/>
    </row>
    <row r="985" spans="2:4" ht="12.75">
      <c r="B985" s="43"/>
      <c r="C985" s="43"/>
      <c r="D985" s="74"/>
    </row>
    <row r="986" spans="2:4" ht="12.75">
      <c r="B986" s="43"/>
      <c r="C986" s="43"/>
      <c r="D986" s="74"/>
    </row>
    <row r="987" spans="2:4" ht="12.75">
      <c r="B987" s="43"/>
      <c r="C987" s="43"/>
      <c r="D987" s="74"/>
    </row>
    <row r="988" spans="2:4" ht="12.75">
      <c r="B988" s="43"/>
      <c r="C988" s="43"/>
      <c r="D988" s="74"/>
    </row>
    <row r="989" spans="2:4" ht="12.75">
      <c r="B989" s="43"/>
      <c r="C989" s="43"/>
      <c r="D989" s="74"/>
    </row>
    <row r="990" spans="2:4" ht="12.75">
      <c r="B990" s="43"/>
      <c r="C990" s="43"/>
      <c r="D990" s="74"/>
    </row>
    <row r="991" spans="2:4" ht="12.75">
      <c r="B991" s="43"/>
      <c r="C991" s="43"/>
      <c r="D991" s="74"/>
    </row>
    <row r="992" spans="2:4" ht="12.75">
      <c r="B992" s="43"/>
      <c r="C992" s="43"/>
      <c r="D992" s="74"/>
    </row>
    <row r="993" spans="2:4" ht="12.75">
      <c r="B993" s="43"/>
      <c r="C993" s="43"/>
      <c r="D993" s="74"/>
    </row>
  </sheetData>
  <sheetProtection/>
  <mergeCells count="1">
    <mergeCell ref="A2:D2"/>
  </mergeCells>
  <printOptions/>
  <pageMargins left="0.5" right="0.25" top="1" bottom="1" header="0.38" footer="0.5"/>
  <pageSetup firstPageNumber="74" useFirstPageNumber="1" horizontalDpi="600" verticalDpi="600" orientation="portrait" paperSize="9" r:id="rId1"/>
  <rowBreaks count="26" manualBreakCount="26">
    <brk id="41" max="255" man="1"/>
    <brk id="68" max="255" man="1"/>
    <brk id="111" max="255" man="1"/>
    <brk id="117" max="255" man="1"/>
    <brk id="170" max="255" man="1"/>
    <brk id="182" max="255" man="1"/>
    <brk id="196" max="255" man="1"/>
    <brk id="212" max="255" man="1"/>
    <brk id="263" max="255" man="1"/>
    <brk id="293" max="255" man="1"/>
    <brk id="313" max="255" man="1"/>
    <brk id="322" max="255" man="1"/>
    <brk id="338" max="255" man="1"/>
    <brk id="380" max="255" man="1"/>
    <brk id="430" max="255" man="1"/>
    <brk id="481" max="255" man="1"/>
    <brk id="531" max="255" man="1"/>
    <brk id="575" max="255" man="1"/>
    <brk id="624" max="255" man="1"/>
    <brk id="677" max="255" man="1"/>
    <brk id="726" max="255" man="1"/>
    <brk id="753" max="255" man="1"/>
    <brk id="765" max="255" man="1"/>
    <brk id="796" max="255" man="1"/>
    <brk id="819" max="255" man="1"/>
    <brk id="864" max="255" man="1"/>
  </rowBreaks>
</worksheet>
</file>

<file path=xl/worksheets/sheet12.xml><?xml version="1.0" encoding="utf-8"?>
<worksheet xmlns="http://schemas.openxmlformats.org/spreadsheetml/2006/main" xmlns:r="http://schemas.openxmlformats.org/officeDocument/2006/relationships">
  <dimension ref="A1:J212"/>
  <sheetViews>
    <sheetView view="pageBreakPreview" zoomScaleSheetLayoutView="100" zoomScalePageLayoutView="0" workbookViewId="0" topLeftCell="A34">
      <selection activeCell="B92" sqref="B92"/>
    </sheetView>
  </sheetViews>
  <sheetFormatPr defaultColWidth="9.140625" defaultRowHeight="12.75"/>
  <cols>
    <col min="1" max="1" width="9.7109375" style="0" bestFit="1" customWidth="1"/>
    <col min="2" max="2" width="38.28125" style="0" bestFit="1" customWidth="1"/>
    <col min="3" max="3" width="8.8515625" style="0" customWidth="1"/>
    <col min="4" max="4" width="11.8515625" style="43" customWidth="1"/>
    <col min="5" max="5" width="10.00390625" style="58" customWidth="1"/>
    <col min="6" max="6" width="14.7109375" style="58" customWidth="1"/>
    <col min="8" max="8" width="11.140625" style="0" bestFit="1" customWidth="1"/>
    <col min="9" max="9" width="9.57421875" style="0" bestFit="1" customWidth="1"/>
  </cols>
  <sheetData>
    <row r="1" spans="1:9" ht="12.75">
      <c r="A1" s="88"/>
      <c r="B1" s="89"/>
      <c r="C1" s="88"/>
      <c r="D1" s="90"/>
      <c r="E1" s="350"/>
      <c r="H1" s="72"/>
      <c r="I1" s="91"/>
    </row>
    <row r="2" spans="1:9" ht="18">
      <c r="A2" s="92"/>
      <c r="B2" s="351" t="s">
        <v>179</v>
      </c>
      <c r="C2" s="351"/>
      <c r="D2" s="351"/>
      <c r="E2" s="351"/>
      <c r="F2" s="351"/>
      <c r="H2" s="93"/>
      <c r="I2" s="94"/>
    </row>
    <row r="3" spans="1:9" ht="12.75">
      <c r="A3" s="95"/>
      <c r="B3" s="96"/>
      <c r="C3" s="95"/>
      <c r="D3" s="341"/>
      <c r="E3" s="341"/>
      <c r="F3" s="352"/>
      <c r="H3" s="97"/>
      <c r="I3" s="98"/>
    </row>
    <row r="4" spans="1:9" ht="15.75">
      <c r="A4" s="99" t="s">
        <v>3149</v>
      </c>
      <c r="B4" s="100" t="s">
        <v>2147</v>
      </c>
      <c r="C4" s="101"/>
      <c r="D4" s="342"/>
      <c r="E4" s="353"/>
      <c r="F4" s="282"/>
      <c r="H4" s="103"/>
      <c r="I4" s="104"/>
    </row>
    <row r="5" spans="1:9" ht="12.75">
      <c r="A5" s="105"/>
      <c r="B5" s="106"/>
      <c r="C5" s="105"/>
      <c r="D5" s="341"/>
      <c r="E5" s="354"/>
      <c r="F5" s="352"/>
      <c r="H5" s="107"/>
      <c r="I5" s="98"/>
    </row>
    <row r="6" spans="1:9" ht="12.75">
      <c r="A6" s="85">
        <v>1</v>
      </c>
      <c r="B6" s="7" t="s">
        <v>3151</v>
      </c>
      <c r="C6" s="5" t="s">
        <v>2156</v>
      </c>
      <c r="D6" s="456">
        <f>F52</f>
        <v>23518.740587317036</v>
      </c>
      <c r="E6" s="355"/>
      <c r="F6" s="352"/>
      <c r="H6" s="108"/>
      <c r="I6" s="98"/>
    </row>
    <row r="7" spans="1:9" ht="12.75">
      <c r="A7" s="85"/>
      <c r="B7" s="109"/>
      <c r="C7" s="110"/>
      <c r="D7" s="343"/>
      <c r="E7" s="355"/>
      <c r="F7" s="352"/>
      <c r="H7" s="108"/>
      <c r="I7" s="98"/>
    </row>
    <row r="8" spans="1:9" ht="12.75">
      <c r="A8" s="85">
        <v>2</v>
      </c>
      <c r="B8" s="7" t="s">
        <v>3153</v>
      </c>
      <c r="C8" s="110" t="s">
        <v>2148</v>
      </c>
      <c r="D8" s="455">
        <f>F94</f>
        <v>129166.50967954015</v>
      </c>
      <c r="E8" s="356"/>
      <c r="F8" s="352"/>
      <c r="H8" s="111"/>
      <c r="I8" s="98"/>
    </row>
    <row r="9" spans="1:9" ht="12.75">
      <c r="A9" s="112"/>
      <c r="B9" s="109"/>
      <c r="C9" s="110"/>
      <c r="D9" s="455"/>
      <c r="E9" s="356"/>
      <c r="F9" s="352"/>
      <c r="H9" s="111"/>
      <c r="I9" s="98"/>
    </row>
    <row r="10" spans="1:9" ht="13.5" thickBot="1">
      <c r="A10" s="105"/>
      <c r="B10" s="11" t="s">
        <v>3156</v>
      </c>
      <c r="C10" s="110" t="s">
        <v>2148</v>
      </c>
      <c r="D10" s="345">
        <f>D6+D8</f>
        <v>152685.25026685718</v>
      </c>
      <c r="E10" s="357"/>
      <c r="F10" s="352"/>
      <c r="H10" s="113"/>
      <c r="I10" s="98"/>
    </row>
    <row r="11" spans="1:9" ht="13.5" thickTop="1">
      <c r="A11" s="105"/>
      <c r="B11" s="106"/>
      <c r="C11" s="110"/>
      <c r="D11" s="344"/>
      <c r="E11" s="355"/>
      <c r="F11" s="352"/>
      <c r="H11" s="108"/>
      <c r="I11" s="98"/>
    </row>
    <row r="12" spans="1:9" ht="15.75">
      <c r="A12" s="101" t="s">
        <v>2768</v>
      </c>
      <c r="B12" s="100" t="s">
        <v>2150</v>
      </c>
      <c r="C12" s="110"/>
      <c r="D12" s="346"/>
      <c r="E12" s="353"/>
      <c r="F12" s="282"/>
      <c r="H12" s="103"/>
      <c r="I12" s="104"/>
    </row>
    <row r="13" spans="1:9" ht="12.75">
      <c r="A13" s="105"/>
      <c r="B13" s="106"/>
      <c r="C13" s="110"/>
      <c r="D13" s="343"/>
      <c r="E13" s="354"/>
      <c r="F13" s="352"/>
      <c r="H13" s="107"/>
      <c r="I13" s="98"/>
    </row>
    <row r="14" spans="1:9" ht="12.75">
      <c r="A14" s="114">
        <v>1</v>
      </c>
      <c r="B14" s="7" t="s">
        <v>3153</v>
      </c>
      <c r="C14" s="5" t="s">
        <v>2156</v>
      </c>
      <c r="D14" s="456">
        <f>F136</f>
        <v>198557.52770466288</v>
      </c>
      <c r="E14" s="358"/>
      <c r="F14" s="352"/>
      <c r="H14" s="108"/>
      <c r="I14" s="98"/>
    </row>
    <row r="15" spans="1:9" ht="12.75">
      <c r="A15" s="114"/>
      <c r="B15" s="115"/>
      <c r="C15" s="116"/>
      <c r="D15" s="343"/>
      <c r="E15" s="358"/>
      <c r="F15" s="352"/>
      <c r="H15" s="108"/>
      <c r="I15" s="98"/>
    </row>
    <row r="16" spans="1:9" ht="12.75">
      <c r="A16" s="114">
        <v>2</v>
      </c>
      <c r="B16" s="7" t="s">
        <v>3159</v>
      </c>
      <c r="C16" s="110" t="s">
        <v>2148</v>
      </c>
      <c r="D16" s="456">
        <f>F141</f>
        <v>63169.828393522264</v>
      </c>
      <c r="E16" s="358"/>
      <c r="F16" s="352"/>
      <c r="H16" s="108"/>
      <c r="I16" s="98"/>
    </row>
    <row r="17" spans="1:9" ht="12.75">
      <c r="A17" s="114"/>
      <c r="B17" s="115"/>
      <c r="C17" s="110"/>
      <c r="D17" s="343"/>
      <c r="E17" s="358"/>
      <c r="F17" s="352"/>
      <c r="H17" s="108"/>
      <c r="I17" s="98"/>
    </row>
    <row r="18" spans="1:9" ht="12.75">
      <c r="A18" s="114">
        <v>3</v>
      </c>
      <c r="B18" s="7" t="s">
        <v>3160</v>
      </c>
      <c r="C18" s="110" t="s">
        <v>2148</v>
      </c>
      <c r="D18" s="456">
        <f>F154</f>
        <v>40899.67019837389</v>
      </c>
      <c r="E18" s="358"/>
      <c r="F18" s="352"/>
      <c r="H18" s="108"/>
      <c r="I18" s="98"/>
    </row>
    <row r="19" spans="1:9" ht="12.75">
      <c r="A19" s="114"/>
      <c r="B19" s="115"/>
      <c r="C19" s="116"/>
      <c r="D19" s="343"/>
      <c r="E19" s="358"/>
      <c r="F19" s="352"/>
      <c r="H19" s="108"/>
      <c r="I19" s="98"/>
    </row>
    <row r="20" spans="1:9" ht="12.75">
      <c r="A20" s="114">
        <v>4</v>
      </c>
      <c r="B20" s="7" t="s">
        <v>3162</v>
      </c>
      <c r="C20" s="110" t="s">
        <v>2148</v>
      </c>
      <c r="D20" s="456">
        <f>F168</f>
        <v>29351.20496027364</v>
      </c>
      <c r="E20" s="358"/>
      <c r="F20" s="352"/>
      <c r="H20" s="108"/>
      <c r="I20" s="98"/>
    </row>
    <row r="21" spans="1:9" ht="12.75">
      <c r="A21" s="114"/>
      <c r="B21" s="109"/>
      <c r="C21" s="110"/>
      <c r="D21" s="343"/>
      <c r="E21" s="358"/>
      <c r="F21" s="352"/>
      <c r="H21" s="108"/>
      <c r="I21" s="98"/>
    </row>
    <row r="22" spans="1:9" ht="12.75">
      <c r="A22" s="112">
        <v>5</v>
      </c>
      <c r="B22" s="7" t="s">
        <v>3163</v>
      </c>
      <c r="C22" s="110" t="s">
        <v>2148</v>
      </c>
      <c r="D22" s="456">
        <f>F182</f>
        <v>74704.72019622903</v>
      </c>
      <c r="E22" s="355"/>
      <c r="F22" s="352"/>
      <c r="H22" s="108"/>
      <c r="I22" s="98"/>
    </row>
    <row r="23" spans="1:9" ht="12.75">
      <c r="A23" s="112"/>
      <c r="B23" s="109"/>
      <c r="C23" s="105"/>
      <c r="D23" s="343"/>
      <c r="E23" s="355"/>
      <c r="F23" s="352"/>
      <c r="H23" s="108"/>
      <c r="I23" s="98"/>
    </row>
    <row r="24" spans="1:9" ht="12.75">
      <c r="A24" s="112">
        <v>6</v>
      </c>
      <c r="B24" s="7" t="s">
        <v>3165</v>
      </c>
      <c r="C24" s="110" t="s">
        <v>2148</v>
      </c>
      <c r="D24" s="456">
        <f>F194</f>
        <v>15418.03469634453</v>
      </c>
      <c r="E24" s="355"/>
      <c r="F24" s="352"/>
      <c r="H24" s="108"/>
      <c r="I24" s="98"/>
    </row>
    <row r="25" spans="1:9" ht="12.75">
      <c r="A25" s="112"/>
      <c r="B25" s="7"/>
      <c r="C25" s="110"/>
      <c r="D25" s="343"/>
      <c r="E25" s="355"/>
      <c r="F25" s="352"/>
      <c r="H25" s="108"/>
      <c r="I25" s="98"/>
    </row>
    <row r="26" spans="1:9" ht="16.5" customHeight="1" thickBot="1">
      <c r="A26" s="112"/>
      <c r="B26" s="11" t="s">
        <v>3168</v>
      </c>
      <c r="C26" s="110" t="s">
        <v>2148</v>
      </c>
      <c r="D26" s="457">
        <f>D14+D16+D18+D20+D22+D24</f>
        <v>422100.9861494062</v>
      </c>
      <c r="E26" s="355"/>
      <c r="F26" s="352"/>
      <c r="H26" s="117"/>
      <c r="I26" s="98"/>
    </row>
    <row r="27" spans="1:9" ht="16.5" customHeight="1" thickTop="1">
      <c r="A27" s="112"/>
      <c r="B27" s="11"/>
      <c r="C27" s="110"/>
      <c r="D27" s="347"/>
      <c r="E27" s="355"/>
      <c r="F27" s="352"/>
      <c r="H27" s="117"/>
      <c r="I27" s="98"/>
    </row>
    <row r="28" spans="1:9" ht="13.5" thickBot="1">
      <c r="A28" s="112"/>
      <c r="B28" s="118" t="s">
        <v>3169</v>
      </c>
      <c r="C28" s="110" t="s">
        <v>2148</v>
      </c>
      <c r="D28" s="348">
        <f>D10+D26</f>
        <v>574786.2364162634</v>
      </c>
      <c r="E28" s="355"/>
      <c r="F28" s="352"/>
      <c r="H28" s="108"/>
      <c r="I28" s="98"/>
    </row>
    <row r="29" spans="1:9" ht="13.5" thickTop="1">
      <c r="A29" s="112"/>
      <c r="B29" s="118"/>
      <c r="C29" s="110"/>
      <c r="D29" s="349"/>
      <c r="E29" s="355"/>
      <c r="F29" s="352"/>
      <c r="H29" s="108"/>
      <c r="I29" s="98"/>
    </row>
    <row r="30" spans="1:6" s="7" customFormat="1" ht="12.75">
      <c r="A30" s="76"/>
      <c r="B30" s="16"/>
      <c r="C30" s="5"/>
      <c r="D30" s="329"/>
      <c r="E30" s="290"/>
      <c r="F30" s="287"/>
    </row>
    <row r="31" ht="12.75">
      <c r="D31" s="58"/>
    </row>
    <row r="32" spans="1:9" ht="12.75">
      <c r="A32" s="112"/>
      <c r="B32" s="109"/>
      <c r="C32" s="105"/>
      <c r="D32" s="239"/>
      <c r="E32" s="359"/>
      <c r="F32" s="352"/>
      <c r="H32" s="117"/>
      <c r="I32" s="98"/>
    </row>
    <row r="33" spans="1:9" ht="18" customHeight="1">
      <c r="A33" s="112"/>
      <c r="E33" s="355"/>
      <c r="F33" s="352"/>
      <c r="H33" s="70"/>
      <c r="I33" s="98"/>
    </row>
    <row r="34" spans="1:9" ht="12.75">
      <c r="A34" s="119"/>
      <c r="B34" s="84"/>
      <c r="C34" s="119"/>
      <c r="D34" s="240"/>
      <c r="E34" s="360"/>
      <c r="H34" s="120"/>
      <c r="I34" s="91"/>
    </row>
    <row r="35" spans="1:9" ht="12.75">
      <c r="A35" s="2"/>
      <c r="B35" s="89"/>
      <c r="C35" s="43"/>
      <c r="E35" s="361"/>
      <c r="H35" s="72"/>
      <c r="I35" s="91"/>
    </row>
    <row r="36" spans="1:9" ht="15" customHeight="1">
      <c r="A36" s="121" t="s">
        <v>3174</v>
      </c>
      <c r="B36" s="121" t="s">
        <v>3175</v>
      </c>
      <c r="C36" s="121" t="s">
        <v>3176</v>
      </c>
      <c r="D36" s="121" t="s">
        <v>3177</v>
      </c>
      <c r="E36" s="121" t="s">
        <v>3178</v>
      </c>
      <c r="F36" s="121" t="s">
        <v>3179</v>
      </c>
      <c r="H36" s="122"/>
      <c r="I36" s="98"/>
    </row>
    <row r="37" spans="1:9" ht="12.75">
      <c r="A37" s="88"/>
      <c r="B37" s="89"/>
      <c r="C37" s="2"/>
      <c r="D37" s="86"/>
      <c r="E37" s="302"/>
      <c r="F37" s="302"/>
      <c r="H37" s="123"/>
      <c r="I37" s="91"/>
    </row>
    <row r="38" spans="1:9" ht="15.75">
      <c r="A38" s="101" t="s">
        <v>180</v>
      </c>
      <c r="B38" s="100" t="s">
        <v>3150</v>
      </c>
      <c r="C38" s="124"/>
      <c r="D38" s="125"/>
      <c r="E38" s="362"/>
      <c r="F38" s="362"/>
      <c r="H38" s="126"/>
      <c r="I38" s="104"/>
    </row>
    <row r="39" spans="1:9" ht="12.75">
      <c r="A39" s="127"/>
      <c r="B39" s="84"/>
      <c r="C39" s="2"/>
      <c r="D39" s="86"/>
      <c r="E39" s="302"/>
      <c r="F39" s="302"/>
      <c r="H39" s="123"/>
      <c r="I39" s="91"/>
    </row>
    <row r="40" spans="1:9" ht="12.75">
      <c r="A40" s="128" t="s">
        <v>2151</v>
      </c>
      <c r="B40" s="109" t="s">
        <v>3151</v>
      </c>
      <c r="C40" s="5"/>
      <c r="D40" s="129"/>
      <c r="E40" s="321"/>
      <c r="F40" s="321"/>
      <c r="H40" s="130"/>
      <c r="I40" s="98"/>
    </row>
    <row r="41" spans="1:9" ht="12.75">
      <c r="A41" s="127"/>
      <c r="B41" s="84" t="s">
        <v>1213</v>
      </c>
      <c r="C41" s="2"/>
      <c r="D41" s="86"/>
      <c r="E41" s="302"/>
      <c r="F41" s="302"/>
      <c r="H41" s="123"/>
      <c r="I41" s="91"/>
    </row>
    <row r="42" spans="1:9" ht="38.25">
      <c r="A42" s="131" t="s">
        <v>2152</v>
      </c>
      <c r="B42" s="84" t="s">
        <v>2153</v>
      </c>
      <c r="C42" s="2" t="s">
        <v>1565</v>
      </c>
      <c r="D42" s="86">
        <v>113</v>
      </c>
      <c r="E42" s="302">
        <f>'Residential Block'!E50</f>
        <v>7.114086000118828</v>
      </c>
      <c r="F42" s="302">
        <f>D42*E42</f>
        <v>803.8917180134275</v>
      </c>
      <c r="H42" s="123"/>
      <c r="I42" s="91"/>
    </row>
    <row r="43" spans="1:9" ht="12.75">
      <c r="A43" s="127"/>
      <c r="B43" s="84"/>
      <c r="C43" s="2"/>
      <c r="D43" s="86"/>
      <c r="E43" s="302"/>
      <c r="F43" s="302"/>
      <c r="H43" s="123"/>
      <c r="I43" s="91"/>
    </row>
    <row r="44" spans="1:9" ht="38.25">
      <c r="A44" s="119">
        <v>1.2</v>
      </c>
      <c r="B44" s="84" t="s">
        <v>972</v>
      </c>
      <c r="C44" s="2" t="s">
        <v>1567</v>
      </c>
      <c r="D44" s="86">
        <v>60</v>
      </c>
      <c r="E44" s="302">
        <f>'Cost break dow.'!V23</f>
        <v>77.26276732569973</v>
      </c>
      <c r="F44" s="302">
        <f>D44*E44</f>
        <v>4635.766039541983</v>
      </c>
      <c r="H44" s="123"/>
      <c r="I44" s="91"/>
    </row>
    <row r="45" spans="1:9" ht="12.75">
      <c r="A45" s="119"/>
      <c r="B45" s="84"/>
      <c r="C45" s="2"/>
      <c r="D45" s="86"/>
      <c r="E45" s="302"/>
      <c r="F45" s="302"/>
      <c r="H45" s="123"/>
      <c r="I45" s="91"/>
    </row>
    <row r="46" spans="1:9" ht="63.75">
      <c r="A46" s="119">
        <v>1.4</v>
      </c>
      <c r="B46" s="71" t="s">
        <v>973</v>
      </c>
      <c r="C46" s="2" t="s">
        <v>1567</v>
      </c>
      <c r="D46" s="86">
        <v>53</v>
      </c>
      <c r="E46" s="302">
        <f>'Cost break dow.'!V43</f>
        <v>103.0018774019898</v>
      </c>
      <c r="F46" s="302">
        <f>D46*E46</f>
        <v>5459.099502305459</v>
      </c>
      <c r="H46" s="123"/>
      <c r="I46" s="91"/>
    </row>
    <row r="47" spans="1:9" ht="12.75">
      <c r="A47" s="119"/>
      <c r="B47" s="132"/>
      <c r="C47" s="2"/>
      <c r="D47" s="86"/>
      <c r="E47" s="302"/>
      <c r="F47" s="302"/>
      <c r="H47" s="123"/>
      <c r="I47" s="91"/>
    </row>
    <row r="48" spans="1:9" ht="25.5">
      <c r="A48" s="119">
        <v>1.5</v>
      </c>
      <c r="B48" s="84" t="s">
        <v>974</v>
      </c>
      <c r="C48" s="2" t="s">
        <v>1567</v>
      </c>
      <c r="D48" s="86">
        <v>41</v>
      </c>
      <c r="E48" s="302">
        <f>'Cost break dow.'!V54</f>
        <v>97.80008633385177</v>
      </c>
      <c r="F48" s="302">
        <f>D48*E48</f>
        <v>4009.8035396879222</v>
      </c>
      <c r="H48" s="123"/>
      <c r="I48" s="91"/>
    </row>
    <row r="49" spans="1:9" ht="12.75">
      <c r="A49" s="119"/>
      <c r="B49" s="84"/>
      <c r="C49" s="2"/>
      <c r="D49" s="86"/>
      <c r="E49" s="302"/>
      <c r="F49" s="302"/>
      <c r="H49" s="123"/>
      <c r="I49" s="91"/>
    </row>
    <row r="50" spans="1:9" ht="38.25">
      <c r="A50" s="119">
        <v>1.6</v>
      </c>
      <c r="B50" s="84" t="s">
        <v>975</v>
      </c>
      <c r="C50" s="2" t="s">
        <v>1565</v>
      </c>
      <c r="D50" s="86">
        <v>67</v>
      </c>
      <c r="E50" s="302">
        <f>'Cost break dow.'!V59</f>
        <v>128.5101460860932</v>
      </c>
      <c r="F50" s="302">
        <f>D50*E50</f>
        <v>8610.179787768244</v>
      </c>
      <c r="H50" s="123"/>
      <c r="I50" s="91"/>
    </row>
    <row r="51" spans="1:10" ht="12.75">
      <c r="A51" s="119"/>
      <c r="B51" s="132"/>
      <c r="C51" s="2"/>
      <c r="D51" s="86"/>
      <c r="E51" s="302"/>
      <c r="F51" s="302"/>
      <c r="H51" s="123"/>
      <c r="I51" s="91"/>
      <c r="J51" s="43"/>
    </row>
    <row r="52" spans="1:10" ht="13.5" thickBot="1">
      <c r="A52" s="119"/>
      <c r="B52" s="133" t="s">
        <v>2154</v>
      </c>
      <c r="C52" s="2"/>
      <c r="D52" s="86"/>
      <c r="E52" s="302"/>
      <c r="F52" s="322">
        <f>F42+F44+F46+F48+F50</f>
        <v>23518.740587317036</v>
      </c>
      <c r="H52" s="134"/>
      <c r="I52" s="91"/>
      <c r="J52" s="43"/>
    </row>
    <row r="53" spans="1:10" ht="13.5" thickTop="1">
      <c r="A53" s="119"/>
      <c r="B53" s="133"/>
      <c r="C53" s="2"/>
      <c r="D53" s="86"/>
      <c r="E53" s="302"/>
      <c r="F53" s="321"/>
      <c r="H53" s="123"/>
      <c r="I53" s="91"/>
      <c r="J53" s="43"/>
    </row>
    <row r="54" spans="1:10" ht="12.75">
      <c r="A54" s="128" t="s">
        <v>1574</v>
      </c>
      <c r="B54" s="109" t="s">
        <v>3153</v>
      </c>
      <c r="C54" s="5"/>
      <c r="D54" s="129"/>
      <c r="E54" s="321"/>
      <c r="F54" s="321"/>
      <c r="H54" s="130"/>
      <c r="I54" s="98"/>
      <c r="J54" s="66"/>
    </row>
    <row r="55" spans="1:10" ht="12.75">
      <c r="A55" s="127"/>
      <c r="B55" s="132"/>
      <c r="C55" s="2"/>
      <c r="D55" s="86"/>
      <c r="E55" s="302"/>
      <c r="F55" s="302"/>
      <c r="H55" s="123"/>
      <c r="I55" s="91"/>
      <c r="J55" s="43"/>
    </row>
    <row r="56" spans="1:10" ht="25.5">
      <c r="A56" s="127">
        <v>2.1</v>
      </c>
      <c r="B56" s="84" t="s">
        <v>976</v>
      </c>
      <c r="C56" s="2" t="s">
        <v>1565</v>
      </c>
      <c r="D56" s="86">
        <v>25</v>
      </c>
      <c r="E56" s="302">
        <f>'Residential Block'!E74</f>
        <v>71.15213622038112</v>
      </c>
      <c r="F56" s="302">
        <f>D56*E56</f>
        <v>1778.8034055095281</v>
      </c>
      <c r="H56" s="123"/>
      <c r="I56" s="91"/>
      <c r="J56" s="43"/>
    </row>
    <row r="57" spans="1:10" ht="12.75">
      <c r="A57" s="127"/>
      <c r="B57" s="84"/>
      <c r="C57" s="2"/>
      <c r="D57" s="86"/>
      <c r="E57" s="302"/>
      <c r="F57" s="302"/>
      <c r="H57" s="123"/>
      <c r="I57" s="91"/>
      <c r="J57" s="43"/>
    </row>
    <row r="58" spans="1:10" ht="14.25">
      <c r="A58" s="127">
        <v>2.2</v>
      </c>
      <c r="B58" s="84" t="s">
        <v>977</v>
      </c>
      <c r="C58" s="2" t="s">
        <v>1565</v>
      </c>
      <c r="D58" s="86">
        <v>9</v>
      </c>
      <c r="E58" s="302">
        <f>E56</f>
        <v>71.15213622038112</v>
      </c>
      <c r="F58" s="302">
        <f>D58*E58</f>
        <v>640.3692259834302</v>
      </c>
      <c r="H58" s="123"/>
      <c r="I58" s="91"/>
      <c r="J58" s="43"/>
    </row>
    <row r="59" spans="1:10" ht="12.75">
      <c r="A59" s="127"/>
      <c r="B59" s="84"/>
      <c r="C59" s="2"/>
      <c r="D59" s="86"/>
      <c r="E59" s="302"/>
      <c r="F59" s="302"/>
      <c r="H59" s="123"/>
      <c r="I59" s="91"/>
      <c r="J59" s="43"/>
    </row>
    <row r="60" spans="1:10" ht="51">
      <c r="A60" s="83"/>
      <c r="B60" s="84" t="s">
        <v>2155</v>
      </c>
      <c r="C60" s="135"/>
      <c r="D60" s="86"/>
      <c r="E60" s="302"/>
      <c r="F60" s="302"/>
      <c r="H60" s="123"/>
      <c r="I60" s="91"/>
      <c r="J60" s="43"/>
    </row>
    <row r="61" spans="1:10" ht="12.75">
      <c r="A61" s="127"/>
      <c r="B61" s="84"/>
      <c r="C61" s="2"/>
      <c r="D61" s="86"/>
      <c r="E61" s="302"/>
      <c r="F61" s="302"/>
      <c r="H61" s="123"/>
      <c r="I61" s="91"/>
      <c r="J61" s="43"/>
    </row>
    <row r="62" spans="1:10" ht="14.25">
      <c r="A62" s="127">
        <v>2.3</v>
      </c>
      <c r="B62" s="84" t="s">
        <v>978</v>
      </c>
      <c r="C62" s="2" t="s">
        <v>1567</v>
      </c>
      <c r="D62" s="86">
        <v>7</v>
      </c>
      <c r="E62" s="302">
        <f>'Cost break dow.'!V102</f>
        <v>2350.4052110607972</v>
      </c>
      <c r="F62" s="302">
        <f>D62*E62</f>
        <v>16452.836477425582</v>
      </c>
      <c r="H62" s="123"/>
      <c r="I62" s="91"/>
      <c r="J62" s="43"/>
    </row>
    <row r="63" spans="1:10" ht="12.75">
      <c r="A63" s="127"/>
      <c r="B63" s="84"/>
      <c r="C63" s="2"/>
      <c r="D63" s="86"/>
      <c r="E63" s="302"/>
      <c r="F63" s="302"/>
      <c r="H63" s="123"/>
      <c r="I63" s="91"/>
      <c r="J63" s="43"/>
    </row>
    <row r="64" spans="1:10" ht="14.25">
      <c r="A64" s="127">
        <v>2.4</v>
      </c>
      <c r="B64" s="84" t="s">
        <v>979</v>
      </c>
      <c r="C64" s="2" t="s">
        <v>1565</v>
      </c>
      <c r="D64" s="86">
        <v>29</v>
      </c>
      <c r="E64" s="302">
        <f>0.1*E62</f>
        <v>235.04052110607972</v>
      </c>
      <c r="F64" s="302">
        <f>D64*E64</f>
        <v>6816.175112076312</v>
      </c>
      <c r="H64" s="123"/>
      <c r="I64" s="91"/>
      <c r="J64" s="43"/>
    </row>
    <row r="65" spans="1:10" ht="12.75">
      <c r="A65" s="127"/>
      <c r="B65" s="84"/>
      <c r="C65" s="2"/>
      <c r="D65" s="86"/>
      <c r="E65" s="302"/>
      <c r="F65" s="302"/>
      <c r="H65" s="123"/>
      <c r="I65" s="91"/>
      <c r="J65" s="43"/>
    </row>
    <row r="66" spans="1:10" ht="14.25">
      <c r="A66" s="127">
        <v>2.5</v>
      </c>
      <c r="B66" s="84" t="s">
        <v>1072</v>
      </c>
      <c r="C66" s="2" t="s">
        <v>1567</v>
      </c>
      <c r="D66" s="86">
        <v>1</v>
      </c>
      <c r="E66" s="302">
        <f>E62</f>
        <v>2350.4052110607972</v>
      </c>
      <c r="F66" s="302">
        <f>D66*E66</f>
        <v>2350.4052110607972</v>
      </c>
      <c r="H66" s="123"/>
      <c r="I66" s="91"/>
      <c r="J66" s="43"/>
    </row>
    <row r="67" spans="1:9" ht="12.75">
      <c r="A67" s="127"/>
      <c r="B67" s="84"/>
      <c r="C67" s="2"/>
      <c r="D67" s="86"/>
      <c r="E67" s="302"/>
      <c r="F67" s="302"/>
      <c r="H67" s="123"/>
      <c r="I67" s="91"/>
    </row>
    <row r="68" spans="1:9" ht="14.25">
      <c r="A68" s="127">
        <v>2.6</v>
      </c>
      <c r="B68" s="84" t="s">
        <v>922</v>
      </c>
      <c r="C68" s="2" t="s">
        <v>1567</v>
      </c>
      <c r="D68" s="86">
        <v>5</v>
      </c>
      <c r="E68" s="302">
        <f>E62</f>
        <v>2350.4052110607972</v>
      </c>
      <c r="F68" s="302">
        <f>D68*E68</f>
        <v>11752.026055303986</v>
      </c>
      <c r="H68" s="123"/>
      <c r="I68" s="91"/>
    </row>
    <row r="69" spans="1:9" ht="12.75">
      <c r="A69" s="127"/>
      <c r="B69" s="84"/>
      <c r="C69" s="2"/>
      <c r="D69" s="86"/>
      <c r="E69" s="302"/>
      <c r="F69" s="302"/>
      <c r="H69" s="123"/>
      <c r="I69" s="91"/>
    </row>
    <row r="70" spans="1:9" ht="14.25">
      <c r="A70" s="127">
        <v>2.7</v>
      </c>
      <c r="B70" s="84" t="s">
        <v>923</v>
      </c>
      <c r="C70" s="2" t="s">
        <v>1565</v>
      </c>
      <c r="D70" s="86">
        <v>67</v>
      </c>
      <c r="E70" s="302">
        <f>0.1*E62</f>
        <v>235.04052110607972</v>
      </c>
      <c r="F70" s="302">
        <f>D70*E70</f>
        <v>15747.714914107342</v>
      </c>
      <c r="H70" s="123"/>
      <c r="I70" s="91"/>
    </row>
    <row r="71" spans="1:9" ht="11.25" customHeight="1">
      <c r="A71" s="127"/>
      <c r="B71" s="84"/>
      <c r="C71" s="2"/>
      <c r="D71" s="86"/>
      <c r="E71" s="302"/>
      <c r="F71" s="302"/>
      <c r="H71" s="123"/>
      <c r="I71" s="91"/>
    </row>
    <row r="72" spans="1:9" ht="25.5">
      <c r="A72" s="127"/>
      <c r="B72" s="84" t="s">
        <v>924</v>
      </c>
      <c r="C72" s="2"/>
      <c r="D72" s="86"/>
      <c r="E72" s="302"/>
      <c r="F72" s="302"/>
      <c r="H72" s="123"/>
      <c r="I72" s="91"/>
    </row>
    <row r="73" spans="1:9" ht="11.25" customHeight="1">
      <c r="A73" s="127"/>
      <c r="B73" s="84"/>
      <c r="C73" s="2"/>
      <c r="D73" s="86"/>
      <c r="E73" s="302"/>
      <c r="F73" s="302"/>
      <c r="H73" s="123"/>
      <c r="I73" s="91"/>
    </row>
    <row r="74" spans="1:9" ht="14.25">
      <c r="A74" s="136">
        <v>2.8</v>
      </c>
      <c r="B74" s="84" t="s">
        <v>925</v>
      </c>
      <c r="C74" s="2" t="s">
        <v>1565</v>
      </c>
      <c r="D74" s="86">
        <v>15</v>
      </c>
      <c r="E74" s="302">
        <f>'Cost break dow.'!V118</f>
        <v>290.32734629873335</v>
      </c>
      <c r="F74" s="302">
        <f>D74*E74</f>
        <v>4354.910194481</v>
      </c>
      <c r="H74" s="123"/>
      <c r="I74" s="91"/>
    </row>
    <row r="75" spans="1:9" ht="12.75">
      <c r="A75" s="136"/>
      <c r="B75" s="84"/>
      <c r="C75" s="2"/>
      <c r="D75" s="86"/>
      <c r="E75" s="302"/>
      <c r="F75" s="302"/>
      <c r="H75" s="123"/>
      <c r="I75" s="91"/>
    </row>
    <row r="76" spans="1:9" ht="14.25">
      <c r="A76" s="136">
        <v>2.9</v>
      </c>
      <c r="B76" s="84" t="s">
        <v>926</v>
      </c>
      <c r="C76" s="2" t="s">
        <v>1565</v>
      </c>
      <c r="D76" s="86">
        <v>30</v>
      </c>
      <c r="E76" s="302">
        <f>E74</f>
        <v>290.32734629873335</v>
      </c>
      <c r="F76" s="302">
        <f>D76*E76</f>
        <v>8709.820388962</v>
      </c>
      <c r="H76" s="123"/>
      <c r="I76" s="91"/>
    </row>
    <row r="77" spans="1:9" ht="12.75">
      <c r="A77" s="136"/>
      <c r="B77" s="84"/>
      <c r="C77" s="2"/>
      <c r="D77" s="86"/>
      <c r="E77" s="302"/>
      <c r="F77" s="302"/>
      <c r="H77" s="123"/>
      <c r="I77" s="91"/>
    </row>
    <row r="78" spans="1:9" ht="14.25">
      <c r="A78" s="137">
        <v>2.1</v>
      </c>
      <c r="B78" s="132" t="s">
        <v>927</v>
      </c>
      <c r="C78" s="2" t="s">
        <v>1565</v>
      </c>
      <c r="D78" s="86">
        <v>15</v>
      </c>
      <c r="E78" s="302">
        <f>E74</f>
        <v>290.32734629873335</v>
      </c>
      <c r="F78" s="302">
        <f>D78*E78</f>
        <v>4354.910194481</v>
      </c>
      <c r="H78" s="123"/>
      <c r="I78" s="91"/>
    </row>
    <row r="79" spans="1:9" ht="12.75">
      <c r="A79" s="136"/>
      <c r="B79" s="132"/>
      <c r="C79" s="2"/>
      <c r="D79" s="86"/>
      <c r="E79" s="302"/>
      <c r="F79" s="302"/>
      <c r="H79" s="123"/>
      <c r="I79" s="91"/>
    </row>
    <row r="80" spans="1:9" ht="14.25">
      <c r="A80" s="136">
        <v>2.11</v>
      </c>
      <c r="B80" s="84" t="s">
        <v>928</v>
      </c>
      <c r="C80" s="2" t="s">
        <v>1565</v>
      </c>
      <c r="D80" s="86">
        <v>43</v>
      </c>
      <c r="E80" s="302">
        <f>E74</f>
        <v>290.32734629873335</v>
      </c>
      <c r="F80" s="302">
        <f>D80*E80</f>
        <v>12484.075890845534</v>
      </c>
      <c r="H80" s="123"/>
      <c r="I80" s="91"/>
    </row>
    <row r="81" spans="1:9" ht="11.25" customHeight="1">
      <c r="A81" s="136"/>
      <c r="B81" s="84"/>
      <c r="C81" s="2"/>
      <c r="D81" s="86"/>
      <c r="E81" s="302"/>
      <c r="F81" s="302"/>
      <c r="H81" s="123"/>
      <c r="I81" s="91"/>
    </row>
    <row r="82" spans="1:9" ht="38.25">
      <c r="A82" s="138"/>
      <c r="B82" s="139" t="s">
        <v>85</v>
      </c>
      <c r="C82" s="135"/>
      <c r="D82" s="86"/>
      <c r="E82" s="302"/>
      <c r="F82" s="302"/>
      <c r="H82" s="140"/>
      <c r="I82" s="91"/>
    </row>
    <row r="83" spans="1:9" ht="11.25" customHeight="1">
      <c r="A83" s="127"/>
      <c r="B83" s="84"/>
      <c r="C83" s="2"/>
      <c r="D83" s="86"/>
      <c r="E83" s="302"/>
      <c r="F83" s="302"/>
      <c r="H83" s="123"/>
      <c r="I83" s="91"/>
    </row>
    <row r="84" spans="1:9" ht="12.75">
      <c r="A84" s="131" t="s">
        <v>929</v>
      </c>
      <c r="B84" s="84" t="s">
        <v>930</v>
      </c>
      <c r="C84" s="2" t="s">
        <v>86</v>
      </c>
      <c r="D84" s="86">
        <v>300</v>
      </c>
      <c r="E84" s="302">
        <f>'Cost break dow.'!V125</f>
        <v>28.227542033120493</v>
      </c>
      <c r="F84" s="302">
        <f>D84*E84</f>
        <v>8468.262609936148</v>
      </c>
      <c r="H84" s="123"/>
      <c r="I84" s="91"/>
    </row>
    <row r="85" spans="1:9" ht="12.75">
      <c r="A85" s="119"/>
      <c r="B85" s="84"/>
      <c r="C85" s="2"/>
      <c r="D85" s="86"/>
      <c r="E85" s="302"/>
      <c r="F85" s="302"/>
      <c r="H85" s="123"/>
      <c r="I85" s="91"/>
    </row>
    <row r="86" spans="1:9" ht="12.75">
      <c r="A86" s="131" t="s">
        <v>931</v>
      </c>
      <c r="B86" s="84" t="s">
        <v>932</v>
      </c>
      <c r="C86" s="2" t="s">
        <v>86</v>
      </c>
      <c r="D86" s="86">
        <v>204</v>
      </c>
      <c r="E86" s="302">
        <f>E84</f>
        <v>28.227542033120493</v>
      </c>
      <c r="F86" s="302">
        <f>D86*E86</f>
        <v>5758.418574756581</v>
      </c>
      <c r="H86" s="123"/>
      <c r="I86" s="91"/>
    </row>
    <row r="87" spans="1:9" ht="12.75">
      <c r="A87" s="119"/>
      <c r="B87" s="84"/>
      <c r="C87" s="2"/>
      <c r="D87" s="86"/>
      <c r="E87" s="302"/>
      <c r="F87" s="302"/>
      <c r="H87" s="123"/>
      <c r="I87" s="91"/>
    </row>
    <row r="88" spans="1:9" ht="12.75">
      <c r="A88" s="131" t="s">
        <v>933</v>
      </c>
      <c r="B88" s="84" t="s">
        <v>934</v>
      </c>
      <c r="C88" s="2" t="s">
        <v>86</v>
      </c>
      <c r="D88" s="86">
        <v>332</v>
      </c>
      <c r="E88" s="302">
        <f>E86</f>
        <v>28.227542033120493</v>
      </c>
      <c r="F88" s="302">
        <f>D88*E88</f>
        <v>9371.543954996003</v>
      </c>
      <c r="H88" s="123"/>
      <c r="I88" s="91"/>
    </row>
    <row r="89" spans="1:9" ht="12.75">
      <c r="A89" s="119"/>
      <c r="B89" s="84"/>
      <c r="C89" s="2"/>
      <c r="D89" s="86"/>
      <c r="E89" s="302"/>
      <c r="F89" s="302"/>
      <c r="H89" s="123"/>
      <c r="I89" s="91"/>
    </row>
    <row r="90" spans="1:9" ht="12.75">
      <c r="A90" s="131" t="s">
        <v>935</v>
      </c>
      <c r="B90" s="89" t="s">
        <v>936</v>
      </c>
      <c r="C90" s="2" t="s">
        <v>86</v>
      </c>
      <c r="D90" s="86">
        <v>211</v>
      </c>
      <c r="E90" s="302">
        <f>E88</f>
        <v>28.227542033120493</v>
      </c>
      <c r="F90" s="302">
        <f>D90*E90</f>
        <v>5956.011368988424</v>
      </c>
      <c r="H90" s="123"/>
      <c r="I90" s="91"/>
    </row>
    <row r="91" spans="1:9" ht="12.75">
      <c r="A91" s="119"/>
      <c r="B91" s="89"/>
      <c r="C91" s="2"/>
      <c r="D91" s="86"/>
      <c r="E91" s="302"/>
      <c r="F91" s="302"/>
      <c r="H91" s="123"/>
      <c r="I91" s="91"/>
    </row>
    <row r="92" spans="1:9" ht="12.75">
      <c r="A92" s="131" t="s">
        <v>937</v>
      </c>
      <c r="B92" s="89" t="s">
        <v>938</v>
      </c>
      <c r="C92" s="2" t="s">
        <v>86</v>
      </c>
      <c r="D92" s="86">
        <v>502</v>
      </c>
      <c r="E92" s="302">
        <f>E90</f>
        <v>28.227542033120493</v>
      </c>
      <c r="F92" s="302">
        <f>D92*E92</f>
        <v>14170.226100626487</v>
      </c>
      <c r="H92" s="123"/>
      <c r="I92" s="91"/>
    </row>
    <row r="93" spans="1:9" ht="12.75">
      <c r="A93" s="141"/>
      <c r="B93" s="89"/>
      <c r="C93" s="2"/>
      <c r="D93" s="86"/>
      <c r="E93" s="302"/>
      <c r="F93" s="302"/>
      <c r="H93" s="123"/>
      <c r="I93" s="91"/>
    </row>
    <row r="94" spans="1:9" ht="13.5" thickBot="1">
      <c r="A94" s="119"/>
      <c r="B94" s="133" t="s">
        <v>2154</v>
      </c>
      <c r="C94" s="2"/>
      <c r="D94" s="86"/>
      <c r="E94" s="302"/>
      <c r="F94" s="322">
        <f>F56+F58+F62+F64+F66+F68+F70+F74+F76+F78+F80+F84+F86+F88+F90+F92</f>
        <v>129166.50967954015</v>
      </c>
      <c r="H94" s="134"/>
      <c r="I94" s="91"/>
    </row>
    <row r="95" spans="1:9" ht="13.5" thickTop="1">
      <c r="A95" s="142"/>
      <c r="B95" s="139"/>
      <c r="C95" s="2"/>
      <c r="D95" s="86"/>
      <c r="E95" s="302"/>
      <c r="F95" s="321"/>
      <c r="H95" s="123"/>
      <c r="I95" s="91"/>
    </row>
    <row r="96" spans="1:9" ht="15.75">
      <c r="A96" s="105" t="s">
        <v>2149</v>
      </c>
      <c r="B96" s="143" t="s">
        <v>2261</v>
      </c>
      <c r="C96" s="124"/>
      <c r="D96" s="125"/>
      <c r="E96" s="362"/>
      <c r="F96" s="362"/>
      <c r="H96" s="126"/>
      <c r="I96" s="104"/>
    </row>
    <row r="97" spans="1:9" ht="12.75">
      <c r="A97" s="127"/>
      <c r="B97" s="132"/>
      <c r="C97" s="2"/>
      <c r="D97" s="86"/>
      <c r="E97" s="302"/>
      <c r="F97" s="302"/>
      <c r="H97" s="123"/>
      <c r="I97" s="91"/>
    </row>
    <row r="98" spans="1:9" ht="12.75">
      <c r="A98" s="128" t="s">
        <v>2151</v>
      </c>
      <c r="B98" s="109" t="s">
        <v>3153</v>
      </c>
      <c r="C98" s="5"/>
      <c r="D98" s="129"/>
      <c r="E98" s="321"/>
      <c r="F98" s="321"/>
      <c r="H98" s="130"/>
      <c r="I98" s="98"/>
    </row>
    <row r="99" spans="1:9" ht="12.75">
      <c r="A99" s="127"/>
      <c r="B99" s="84"/>
      <c r="C99" s="2"/>
      <c r="D99" s="86"/>
      <c r="E99" s="302"/>
      <c r="F99" s="302"/>
      <c r="H99" s="123"/>
      <c r="I99" s="91"/>
    </row>
    <row r="100" spans="1:9" ht="38.25">
      <c r="A100" s="83"/>
      <c r="B100" s="84" t="s">
        <v>1017</v>
      </c>
      <c r="C100" s="135"/>
      <c r="D100" s="86"/>
      <c r="E100" s="302"/>
      <c r="F100" s="302"/>
      <c r="H100" s="140"/>
      <c r="I100" s="91"/>
    </row>
    <row r="101" spans="1:9" ht="12.75">
      <c r="A101" s="127"/>
      <c r="B101" s="84"/>
      <c r="C101" s="2"/>
      <c r="D101" s="86"/>
      <c r="E101" s="302"/>
      <c r="F101" s="302"/>
      <c r="H101" s="123"/>
      <c r="I101" s="91"/>
    </row>
    <row r="102" spans="1:9" ht="14.25">
      <c r="A102" s="127">
        <v>1.1</v>
      </c>
      <c r="B102" s="84" t="s">
        <v>2263</v>
      </c>
      <c r="C102" s="2" t="s">
        <v>1567</v>
      </c>
      <c r="D102" s="86">
        <v>4</v>
      </c>
      <c r="E102" s="302">
        <f>'Cost break dow.'!V102</f>
        <v>2350.4052110607972</v>
      </c>
      <c r="F102" s="302">
        <f>D102*E102</f>
        <v>9401.620844243189</v>
      </c>
      <c r="H102" s="123"/>
      <c r="I102" s="91"/>
    </row>
    <row r="103" spans="1:9" ht="12.75">
      <c r="A103" s="119"/>
      <c r="B103" s="84"/>
      <c r="C103" s="2"/>
      <c r="D103" s="86"/>
      <c r="E103" s="302"/>
      <c r="F103" s="302"/>
      <c r="H103" s="123"/>
      <c r="I103" s="91"/>
    </row>
    <row r="104" spans="1:9" ht="14.25">
      <c r="A104" s="119">
        <v>1.2</v>
      </c>
      <c r="B104" s="84" t="s">
        <v>1018</v>
      </c>
      <c r="C104" s="2" t="s">
        <v>1567</v>
      </c>
      <c r="D104" s="86">
        <v>7</v>
      </c>
      <c r="E104" s="302">
        <f>E102</f>
        <v>2350.4052110607972</v>
      </c>
      <c r="F104" s="302">
        <f>D104*E104</f>
        <v>16452.836477425582</v>
      </c>
      <c r="H104" s="123"/>
      <c r="I104" s="91"/>
    </row>
    <row r="105" spans="1:9" ht="12.75">
      <c r="A105" s="119"/>
      <c r="B105" s="84"/>
      <c r="C105" s="2"/>
      <c r="D105" s="86"/>
      <c r="E105" s="302"/>
      <c r="F105" s="302"/>
      <c r="H105" s="123"/>
      <c r="I105" s="91"/>
    </row>
    <row r="106" spans="1:9" ht="14.25">
      <c r="A106" s="119">
        <v>1.3</v>
      </c>
      <c r="B106" s="84" t="s">
        <v>1019</v>
      </c>
      <c r="C106" s="2" t="s">
        <v>1567</v>
      </c>
      <c r="D106" s="86">
        <v>1</v>
      </c>
      <c r="E106" s="302">
        <f>E102</f>
        <v>2350.4052110607972</v>
      </c>
      <c r="F106" s="302">
        <f>D106*E106</f>
        <v>2350.4052110607972</v>
      </c>
      <c r="H106" s="123"/>
      <c r="I106" s="91"/>
    </row>
    <row r="107" spans="1:9" ht="12.75">
      <c r="A107" s="119"/>
      <c r="B107" s="84"/>
      <c r="C107" s="2"/>
      <c r="D107" s="86"/>
      <c r="E107" s="302"/>
      <c r="F107" s="302"/>
      <c r="H107" s="123"/>
      <c r="I107" s="91"/>
    </row>
    <row r="108" spans="1:9" ht="14.25">
      <c r="A108" s="119">
        <v>1.4</v>
      </c>
      <c r="B108" s="84" t="s">
        <v>1020</v>
      </c>
      <c r="C108" s="2" t="s">
        <v>1565</v>
      </c>
      <c r="D108" s="86">
        <v>67</v>
      </c>
      <c r="E108" s="302">
        <f>0.12*E102</f>
        <v>282.04862532729567</v>
      </c>
      <c r="F108" s="302">
        <f>D108*E108</f>
        <v>18897.257896928808</v>
      </c>
      <c r="H108" s="123"/>
      <c r="I108" s="91"/>
    </row>
    <row r="109" spans="1:9" ht="12.75">
      <c r="A109" s="119"/>
      <c r="B109" s="84"/>
      <c r="C109" s="2"/>
      <c r="D109" s="86"/>
      <c r="E109" s="302"/>
      <c r="F109" s="302"/>
      <c r="H109" s="123"/>
      <c r="I109" s="91"/>
    </row>
    <row r="110" spans="1:9" ht="14.25">
      <c r="A110" s="119">
        <v>1.5</v>
      </c>
      <c r="B110" s="84" t="s">
        <v>1021</v>
      </c>
      <c r="C110" s="2" t="s">
        <v>1565</v>
      </c>
      <c r="D110" s="86">
        <v>19</v>
      </c>
      <c r="E110" s="302">
        <f>0.1*E102</f>
        <v>235.04052110607972</v>
      </c>
      <c r="F110" s="302">
        <f>D110*E110</f>
        <v>4465.769901015515</v>
      </c>
      <c r="H110" s="123"/>
      <c r="I110" s="91"/>
    </row>
    <row r="111" spans="1:9" ht="12.75">
      <c r="A111" s="119"/>
      <c r="B111" s="84"/>
      <c r="C111" s="2"/>
      <c r="D111" s="86"/>
      <c r="E111" s="302"/>
      <c r="F111" s="302"/>
      <c r="H111" s="123"/>
      <c r="I111" s="91"/>
    </row>
    <row r="112" spans="1:9" ht="25.5">
      <c r="A112" s="144"/>
      <c r="B112" s="84" t="s">
        <v>486</v>
      </c>
      <c r="C112" s="2"/>
      <c r="D112" s="86"/>
      <c r="E112" s="302"/>
      <c r="F112" s="302"/>
      <c r="H112" s="123"/>
      <c r="I112" s="91"/>
    </row>
    <row r="113" spans="1:9" ht="12.75">
      <c r="A113" s="119"/>
      <c r="B113" s="84"/>
      <c r="C113" s="2"/>
      <c r="D113" s="86"/>
      <c r="E113" s="302"/>
      <c r="F113" s="302"/>
      <c r="H113" s="123"/>
      <c r="I113" s="91"/>
    </row>
    <row r="114" spans="1:9" ht="14.25">
      <c r="A114" s="127">
        <v>1.6</v>
      </c>
      <c r="B114" s="84" t="s">
        <v>487</v>
      </c>
      <c r="C114" s="2" t="s">
        <v>1565</v>
      </c>
      <c r="D114" s="86">
        <v>53</v>
      </c>
      <c r="E114" s="302">
        <f>'Cost break dow.'!V118</f>
        <v>290.32734629873335</v>
      </c>
      <c r="F114" s="302">
        <f>D114*E114</f>
        <v>15387.349353832868</v>
      </c>
      <c r="H114" s="123"/>
      <c r="I114" s="91"/>
    </row>
    <row r="115" spans="1:9" ht="12.75">
      <c r="A115" s="119"/>
      <c r="B115" s="84"/>
      <c r="C115" s="2"/>
      <c r="D115" s="86"/>
      <c r="E115" s="302"/>
      <c r="F115" s="302"/>
      <c r="H115" s="123"/>
      <c r="I115" s="91"/>
    </row>
    <row r="116" spans="1:9" ht="14.25">
      <c r="A116" s="119">
        <v>1.7</v>
      </c>
      <c r="B116" s="84" t="s">
        <v>488</v>
      </c>
      <c r="C116" s="2" t="s">
        <v>1565</v>
      </c>
      <c r="D116" s="86">
        <v>84</v>
      </c>
      <c r="E116" s="302">
        <f>E114</f>
        <v>290.32734629873335</v>
      </c>
      <c r="F116" s="302">
        <f>D116*E116</f>
        <v>24387.497089093602</v>
      </c>
      <c r="H116" s="123"/>
      <c r="I116" s="91"/>
    </row>
    <row r="117" spans="1:9" ht="12.75">
      <c r="A117" s="119"/>
      <c r="B117" s="84"/>
      <c r="C117" s="2"/>
      <c r="D117" s="86"/>
      <c r="E117" s="302"/>
      <c r="F117" s="302"/>
      <c r="H117" s="123"/>
      <c r="I117" s="91"/>
    </row>
    <row r="118" spans="1:9" ht="14.25">
      <c r="A118" s="127">
        <v>1.8</v>
      </c>
      <c r="B118" s="84" t="s">
        <v>489</v>
      </c>
      <c r="C118" s="2" t="s">
        <v>1565</v>
      </c>
      <c r="D118" s="86">
        <v>9</v>
      </c>
      <c r="E118" s="302">
        <f>E114</f>
        <v>290.32734629873335</v>
      </c>
      <c r="F118" s="302">
        <f>D118*E118</f>
        <v>2612.9461166886003</v>
      </c>
      <c r="H118" s="123"/>
      <c r="I118" s="91"/>
    </row>
    <row r="119" spans="2:9" ht="12.75">
      <c r="B119" s="84"/>
      <c r="C119" s="2"/>
      <c r="D119" s="86"/>
      <c r="E119" s="302"/>
      <c r="F119" s="302"/>
      <c r="H119" s="123"/>
      <c r="I119" s="91"/>
    </row>
    <row r="120" spans="1:9" ht="14.25">
      <c r="A120" s="127">
        <v>1.9</v>
      </c>
      <c r="B120" s="84" t="s">
        <v>490</v>
      </c>
      <c r="C120" s="2" t="s">
        <v>1565</v>
      </c>
      <c r="D120" s="86">
        <v>67</v>
      </c>
      <c r="E120" s="302">
        <f>E114</f>
        <v>290.32734629873335</v>
      </c>
      <c r="F120" s="302">
        <f>D120*E120</f>
        <v>19451.932202015134</v>
      </c>
      <c r="H120" s="123"/>
      <c r="I120" s="91"/>
    </row>
    <row r="121" spans="1:9" ht="12.75">
      <c r="A121" s="127"/>
      <c r="B121" s="84"/>
      <c r="C121" s="2"/>
      <c r="D121" s="86"/>
      <c r="E121" s="302"/>
      <c r="F121" s="302"/>
      <c r="H121" s="123"/>
      <c r="I121" s="91"/>
    </row>
    <row r="122" spans="1:9" ht="14.25">
      <c r="A122" s="145">
        <v>1.1</v>
      </c>
      <c r="B122" s="84" t="s">
        <v>491</v>
      </c>
      <c r="C122" s="2" t="s">
        <v>1565</v>
      </c>
      <c r="D122" s="86">
        <v>37</v>
      </c>
      <c r="E122" s="302">
        <f>E114</f>
        <v>290.32734629873335</v>
      </c>
      <c r="F122" s="302">
        <f>D122*E122</f>
        <v>10742.111813053134</v>
      </c>
      <c r="H122" s="123"/>
      <c r="I122" s="91"/>
    </row>
    <row r="123" spans="1:9" ht="12.75">
      <c r="A123" s="119"/>
      <c r="B123" s="84"/>
      <c r="C123" s="2"/>
      <c r="D123" s="86"/>
      <c r="E123" s="302"/>
      <c r="F123" s="302"/>
      <c r="H123" s="123"/>
      <c r="I123" s="91"/>
    </row>
    <row r="124" spans="1:9" ht="38.25">
      <c r="A124" s="127"/>
      <c r="B124" s="84" t="s">
        <v>268</v>
      </c>
      <c r="C124" s="2"/>
      <c r="D124" s="86"/>
      <c r="E124" s="302"/>
      <c r="F124" s="302"/>
      <c r="H124" s="123"/>
      <c r="I124" s="91"/>
    </row>
    <row r="125" spans="1:9" ht="12.75">
      <c r="A125" s="127"/>
      <c r="B125" s="84"/>
      <c r="C125" s="2"/>
      <c r="D125" s="86"/>
      <c r="E125" s="302"/>
      <c r="F125" s="302"/>
      <c r="H125" s="123"/>
      <c r="I125" s="91"/>
    </row>
    <row r="126" spans="1:9" ht="12.75">
      <c r="A126" s="119">
        <v>1.11</v>
      </c>
      <c r="B126" s="84" t="s">
        <v>492</v>
      </c>
      <c r="C126" s="2" t="s">
        <v>86</v>
      </c>
      <c r="D126" s="86">
        <v>775</v>
      </c>
      <c r="E126" s="302">
        <f>'Cost break dow.'!V125</f>
        <v>28.227542033120493</v>
      </c>
      <c r="F126" s="302">
        <f>D126*E126</f>
        <v>21876.34507566838</v>
      </c>
      <c r="H126" s="123"/>
      <c r="I126" s="91"/>
    </row>
    <row r="127" spans="1:9" ht="12.75">
      <c r="A127" s="127"/>
      <c r="B127" s="84"/>
      <c r="C127" s="2"/>
      <c r="D127" s="86"/>
      <c r="E127" s="302"/>
      <c r="F127" s="302"/>
      <c r="H127" s="123"/>
      <c r="I127" s="91"/>
    </row>
    <row r="128" spans="1:9" ht="12.75">
      <c r="A128" s="131" t="s">
        <v>493</v>
      </c>
      <c r="B128" s="84" t="s">
        <v>494</v>
      </c>
      <c r="C128" s="2" t="s">
        <v>86</v>
      </c>
      <c r="D128" s="86">
        <v>319</v>
      </c>
      <c r="E128" s="302">
        <f>E126</f>
        <v>28.227542033120493</v>
      </c>
      <c r="F128" s="302">
        <f>D128*E128</f>
        <v>9004.585908565437</v>
      </c>
      <c r="H128" s="123"/>
      <c r="I128" s="91"/>
    </row>
    <row r="129" spans="1:9" ht="12.75">
      <c r="A129" s="119"/>
      <c r="B129" s="84"/>
      <c r="C129" s="2"/>
      <c r="D129" s="86"/>
      <c r="E129" s="302"/>
      <c r="F129" s="302"/>
      <c r="H129" s="123"/>
      <c r="I129" s="91"/>
    </row>
    <row r="130" spans="1:9" ht="12.75">
      <c r="A130" s="119">
        <v>1.13</v>
      </c>
      <c r="B130" s="84" t="s">
        <v>495</v>
      </c>
      <c r="C130" s="2" t="s">
        <v>86</v>
      </c>
      <c r="D130" s="86">
        <v>331</v>
      </c>
      <c r="E130" s="302">
        <f>E126</f>
        <v>28.227542033120493</v>
      </c>
      <c r="F130" s="302">
        <f>D130*E130</f>
        <v>9343.316412962884</v>
      </c>
      <c r="H130" s="123"/>
      <c r="I130" s="91"/>
    </row>
    <row r="131" spans="1:9" ht="12.75">
      <c r="A131" s="127"/>
      <c r="B131" s="132"/>
      <c r="C131" s="2"/>
      <c r="D131" s="86"/>
      <c r="E131" s="302"/>
      <c r="F131" s="302"/>
      <c r="H131" s="123"/>
      <c r="I131" s="91"/>
    </row>
    <row r="132" spans="1:9" ht="12.75">
      <c r="A132" s="131" t="s">
        <v>496</v>
      </c>
      <c r="B132" s="84" t="s">
        <v>497</v>
      </c>
      <c r="C132" s="2" t="s">
        <v>86</v>
      </c>
      <c r="D132" s="86">
        <v>59</v>
      </c>
      <c r="E132" s="302">
        <f>E126</f>
        <v>28.227542033120493</v>
      </c>
      <c r="F132" s="302">
        <f>D132*E132</f>
        <v>1665.4249799541092</v>
      </c>
      <c r="H132" s="123"/>
      <c r="I132" s="91"/>
    </row>
    <row r="133" spans="1:9" ht="12.75">
      <c r="A133" s="119"/>
      <c r="B133" s="132"/>
      <c r="C133" s="2"/>
      <c r="D133" s="86"/>
      <c r="E133" s="302"/>
      <c r="F133" s="302"/>
      <c r="H133" s="123"/>
      <c r="I133" s="91"/>
    </row>
    <row r="134" spans="1:9" ht="12.75">
      <c r="A134" s="119">
        <v>1.15</v>
      </c>
      <c r="B134" s="84" t="s">
        <v>498</v>
      </c>
      <c r="C134" s="2" t="s">
        <v>86</v>
      </c>
      <c r="D134" s="86">
        <v>1152</v>
      </c>
      <c r="E134" s="302">
        <f>E126</f>
        <v>28.227542033120493</v>
      </c>
      <c r="F134" s="302">
        <f>D134*E134</f>
        <v>32518.12842215481</v>
      </c>
      <c r="H134" s="123"/>
      <c r="I134" s="91"/>
    </row>
    <row r="135" spans="1:9" ht="12.75">
      <c r="A135" s="127"/>
      <c r="B135" s="84"/>
      <c r="C135" s="2"/>
      <c r="D135" s="86"/>
      <c r="E135" s="302"/>
      <c r="F135" s="302"/>
      <c r="H135" s="123"/>
      <c r="I135" s="91"/>
    </row>
    <row r="136" spans="1:9" ht="13.5" thickBot="1">
      <c r="A136" s="127"/>
      <c r="B136" s="133" t="s">
        <v>2154</v>
      </c>
      <c r="C136" s="2"/>
      <c r="D136" s="86"/>
      <c r="E136" s="302"/>
      <c r="F136" s="322">
        <f>F102+F104+F106+F108+F110+F114+F116+F118+F120+F122+F126+F128+F130+F132+F134</f>
        <v>198557.52770466288</v>
      </c>
      <c r="H136" s="134"/>
      <c r="I136" s="91"/>
    </row>
    <row r="137" spans="1:9" ht="13.5" thickTop="1">
      <c r="A137" s="127"/>
      <c r="B137" s="132"/>
      <c r="C137" s="2"/>
      <c r="D137" s="86"/>
      <c r="E137" s="302"/>
      <c r="F137" s="321"/>
      <c r="H137" s="123"/>
      <c r="I137" s="91"/>
    </row>
    <row r="138" spans="1:9" ht="12.75">
      <c r="A138" s="128" t="s">
        <v>1574</v>
      </c>
      <c r="B138" s="109" t="s">
        <v>45</v>
      </c>
      <c r="C138" s="5"/>
      <c r="D138" s="129"/>
      <c r="E138" s="321"/>
      <c r="F138" s="321"/>
      <c r="H138" s="130"/>
      <c r="I138" s="98"/>
    </row>
    <row r="139" spans="1:9" ht="12.75">
      <c r="A139" s="127"/>
      <c r="B139" s="132"/>
      <c r="C139" s="2"/>
      <c r="D139" s="86"/>
      <c r="E139" s="302"/>
      <c r="F139" s="302"/>
      <c r="H139" s="123"/>
      <c r="I139" s="91"/>
    </row>
    <row r="140" spans="1:9" ht="25.5">
      <c r="A140" s="119">
        <v>2.1</v>
      </c>
      <c r="B140" s="84" t="s">
        <v>2958</v>
      </c>
      <c r="C140" s="2" t="s">
        <v>1565</v>
      </c>
      <c r="D140" s="86">
        <v>171</v>
      </c>
      <c r="E140" s="302">
        <f>'Residential Block'!E175</f>
        <v>369.41420113170915</v>
      </c>
      <c r="F140" s="302">
        <f>D140*E140</f>
        <v>63169.828393522264</v>
      </c>
      <c r="H140" s="123"/>
      <c r="I140" s="91"/>
    </row>
    <row r="141" spans="1:9" ht="12.75">
      <c r="A141" s="127"/>
      <c r="B141" s="84"/>
      <c r="C141" s="2"/>
      <c r="D141" s="86"/>
      <c r="E141" s="302"/>
      <c r="F141" s="321">
        <f>F140</f>
        <v>63169.828393522264</v>
      </c>
      <c r="H141" s="123"/>
      <c r="I141" s="91"/>
    </row>
    <row r="142" spans="1:9" ht="13.5" thickBot="1">
      <c r="A142" s="127"/>
      <c r="B142" s="133" t="s">
        <v>2154</v>
      </c>
      <c r="C142" s="2"/>
      <c r="D142" s="86"/>
      <c r="E142" s="302"/>
      <c r="F142" s="363"/>
      <c r="H142" s="134"/>
      <c r="I142" s="91"/>
    </row>
    <row r="143" spans="1:9" ht="13.5" thickTop="1">
      <c r="A143" s="127"/>
      <c r="B143" s="133"/>
      <c r="C143" s="2"/>
      <c r="D143" s="86"/>
      <c r="E143" s="302"/>
      <c r="F143" s="302"/>
      <c r="H143" s="123"/>
      <c r="I143" s="91"/>
    </row>
    <row r="144" spans="1:9" ht="12.75">
      <c r="A144" s="146">
        <v>3</v>
      </c>
      <c r="B144" s="109" t="s">
        <v>3160</v>
      </c>
      <c r="C144" s="5"/>
      <c r="D144" s="129"/>
      <c r="E144" s="321"/>
      <c r="F144" s="321"/>
      <c r="H144" s="130"/>
      <c r="I144" s="98"/>
    </row>
    <row r="145" spans="1:9" ht="12.75">
      <c r="A145" s="136"/>
      <c r="B145" s="84"/>
      <c r="C145" s="2"/>
      <c r="D145" s="86"/>
      <c r="E145" s="302"/>
      <c r="F145" s="302"/>
      <c r="H145" s="123"/>
      <c r="I145" s="91"/>
    </row>
    <row r="146" spans="1:9" ht="25.5">
      <c r="A146" s="119">
        <v>3.1</v>
      </c>
      <c r="B146" s="84" t="s">
        <v>2959</v>
      </c>
      <c r="C146" s="2" t="s">
        <v>1565</v>
      </c>
      <c r="D146" s="86">
        <v>67</v>
      </c>
      <c r="E146" s="302">
        <f>'Cost break dow.'!V246</f>
        <v>161.5626438294266</v>
      </c>
      <c r="F146" s="302">
        <f>D146*E146</f>
        <v>10824.697136571582</v>
      </c>
      <c r="H146" s="123"/>
      <c r="I146" s="91"/>
    </row>
    <row r="147" spans="1:9" ht="12.75">
      <c r="A147" s="119"/>
      <c r="B147" s="84"/>
      <c r="C147" s="2"/>
      <c r="D147" s="86"/>
      <c r="E147" s="302"/>
      <c r="F147" s="302"/>
      <c r="H147" s="123"/>
      <c r="I147" s="91"/>
    </row>
    <row r="148" spans="1:9" ht="51">
      <c r="A148" s="119">
        <v>3.2</v>
      </c>
      <c r="B148" s="84" t="s">
        <v>2960</v>
      </c>
      <c r="C148" s="2" t="s">
        <v>1565</v>
      </c>
      <c r="D148" s="86">
        <v>67</v>
      </c>
      <c r="E148" s="302">
        <f>'Cost break dow.'!V380</f>
        <v>384.17608638115655</v>
      </c>
      <c r="F148" s="302">
        <f>D148*E148</f>
        <v>25739.79778753749</v>
      </c>
      <c r="H148" s="123"/>
      <c r="I148" s="91"/>
    </row>
    <row r="149" spans="1:9" ht="12.75">
      <c r="A149" s="119"/>
      <c r="B149" s="84"/>
      <c r="C149" s="2"/>
      <c r="D149" s="86"/>
      <c r="E149" s="302"/>
      <c r="F149" s="302"/>
      <c r="H149" s="123"/>
      <c r="I149" s="91"/>
    </row>
    <row r="150" spans="1:9" ht="38.25">
      <c r="A150" s="127">
        <v>3.3</v>
      </c>
      <c r="B150" s="84" t="s">
        <v>2961</v>
      </c>
      <c r="C150" s="2" t="s">
        <v>92</v>
      </c>
      <c r="D150" s="86">
        <v>40</v>
      </c>
      <c r="E150" s="302">
        <f>'Cost break dow.'!V235</f>
        <v>82.911836763889</v>
      </c>
      <c r="F150" s="302">
        <f>D150*E150</f>
        <v>3316.47347055556</v>
      </c>
      <c r="H150" s="123"/>
      <c r="I150" s="91"/>
    </row>
    <row r="151" spans="1:9" ht="12.75">
      <c r="A151" s="127"/>
      <c r="B151" s="84"/>
      <c r="C151" s="2"/>
      <c r="D151" s="86"/>
      <c r="E151" s="302"/>
      <c r="F151" s="302"/>
      <c r="H151" s="123"/>
      <c r="I151" s="91"/>
    </row>
    <row r="152" spans="1:9" ht="25.5">
      <c r="A152" s="127">
        <v>3.4</v>
      </c>
      <c r="B152" s="84" t="s">
        <v>2445</v>
      </c>
      <c r="C152" s="2" t="s">
        <v>92</v>
      </c>
      <c r="D152" s="86">
        <v>14</v>
      </c>
      <c r="E152" s="302">
        <f>'Cost break dow.'!V240</f>
        <v>72.76441455066129</v>
      </c>
      <c r="F152" s="302">
        <f>D152*E152</f>
        <v>1018.701803709258</v>
      </c>
      <c r="H152" s="123"/>
      <c r="I152" s="91"/>
    </row>
    <row r="153" spans="1:9" ht="12.75">
      <c r="A153" s="127"/>
      <c r="B153" s="84"/>
      <c r="C153" s="2"/>
      <c r="D153" s="86"/>
      <c r="E153" s="302"/>
      <c r="F153" s="302"/>
      <c r="H153" s="123"/>
      <c r="I153" s="91"/>
    </row>
    <row r="154" spans="1:9" ht="13.5" thickBot="1">
      <c r="A154" s="127"/>
      <c r="B154" s="133" t="s">
        <v>2154</v>
      </c>
      <c r="C154" s="2"/>
      <c r="D154" s="86"/>
      <c r="E154" s="302"/>
      <c r="F154" s="322">
        <f>F146+F148+F150+F152</f>
        <v>40899.67019837389</v>
      </c>
      <c r="H154" s="134"/>
      <c r="I154" s="91"/>
    </row>
    <row r="155" spans="1:9" ht="13.5" thickTop="1">
      <c r="A155" s="127"/>
      <c r="B155" s="132"/>
      <c r="C155" s="2"/>
      <c r="D155" s="86"/>
      <c r="E155" s="302"/>
      <c r="F155" s="302"/>
      <c r="H155" s="123"/>
      <c r="I155" s="91"/>
    </row>
    <row r="156" spans="1:9" ht="12.75">
      <c r="A156" s="146">
        <v>4</v>
      </c>
      <c r="B156" s="109" t="s">
        <v>3162</v>
      </c>
      <c r="C156" s="5"/>
      <c r="D156" s="129"/>
      <c r="E156" s="321"/>
      <c r="F156" s="321"/>
      <c r="H156" s="130"/>
      <c r="I156" s="98"/>
    </row>
    <row r="157" spans="1:9" ht="12.75">
      <c r="A157" s="147"/>
      <c r="B157" s="84"/>
      <c r="C157" s="2"/>
      <c r="D157" s="86"/>
      <c r="E157" s="302"/>
      <c r="F157" s="302"/>
      <c r="H157" s="123"/>
      <c r="I157" s="91"/>
    </row>
    <row r="158" spans="1:9" ht="92.25" customHeight="1">
      <c r="A158" s="119"/>
      <c r="B158" s="4" t="s">
        <v>2962</v>
      </c>
      <c r="C158" s="2"/>
      <c r="D158" s="86"/>
      <c r="E158" s="302"/>
      <c r="F158" s="302"/>
      <c r="H158" s="123"/>
      <c r="I158" s="91"/>
    </row>
    <row r="159" spans="1:9" ht="12.75">
      <c r="A159" s="119"/>
      <c r="B159" s="84"/>
      <c r="C159" s="2"/>
      <c r="D159" s="86"/>
      <c r="E159" s="302"/>
      <c r="F159" s="302"/>
      <c r="H159" s="123"/>
      <c r="I159" s="91"/>
    </row>
    <row r="160" spans="1:9" ht="12.75">
      <c r="A160" s="119"/>
      <c r="B160" s="148" t="s">
        <v>2963</v>
      </c>
      <c r="C160" s="2"/>
      <c r="D160" s="86"/>
      <c r="E160" s="302"/>
      <c r="F160" s="302"/>
      <c r="H160" s="123"/>
      <c r="I160" s="91"/>
    </row>
    <row r="161" spans="1:9" ht="12.75">
      <c r="A161" s="119"/>
      <c r="B161" s="148"/>
      <c r="C161" s="2"/>
      <c r="D161" s="86"/>
      <c r="E161" s="302"/>
      <c r="F161" s="302"/>
      <c r="H161" s="123"/>
      <c r="I161" s="91"/>
    </row>
    <row r="162" spans="1:9" ht="12.75">
      <c r="A162" s="119">
        <v>4.1</v>
      </c>
      <c r="B162" s="148" t="s">
        <v>2964</v>
      </c>
      <c r="C162" s="2" t="s">
        <v>2556</v>
      </c>
      <c r="D162" s="86">
        <v>2</v>
      </c>
      <c r="E162" s="302">
        <f>2.1*2.5*'Cost break dow.'!V298</f>
        <v>5188.3443111594825</v>
      </c>
      <c r="F162" s="302">
        <f>D162*E162</f>
        <v>10376.688622318965</v>
      </c>
      <c r="H162" s="123"/>
      <c r="I162" s="91"/>
    </row>
    <row r="163" spans="1:9" ht="12.75">
      <c r="A163" s="119"/>
      <c r="B163" s="133"/>
      <c r="C163" s="2"/>
      <c r="D163" s="86"/>
      <c r="E163" s="302"/>
      <c r="F163" s="302"/>
      <c r="H163" s="123"/>
      <c r="I163" s="91"/>
    </row>
    <row r="164" spans="1:9" ht="12.75">
      <c r="A164" s="119"/>
      <c r="B164" s="148" t="s">
        <v>2965</v>
      </c>
      <c r="C164" s="2"/>
      <c r="D164" s="86"/>
      <c r="E164" s="302"/>
      <c r="F164" s="302"/>
      <c r="H164" s="123"/>
      <c r="I164" s="91"/>
    </row>
    <row r="165" spans="1:9" ht="12.75">
      <c r="A165" s="119"/>
      <c r="B165" s="148"/>
      <c r="C165" s="2"/>
      <c r="D165" s="86"/>
      <c r="E165" s="302"/>
      <c r="F165" s="302"/>
      <c r="H165" s="123"/>
      <c r="I165" s="91"/>
    </row>
    <row r="166" spans="1:9" ht="12.75">
      <c r="A166" s="119">
        <v>4.2</v>
      </c>
      <c r="B166" s="148" t="s">
        <v>2966</v>
      </c>
      <c r="C166" s="2" t="s">
        <v>2556</v>
      </c>
      <c r="D166" s="86">
        <v>16</v>
      </c>
      <c r="E166" s="302">
        <f>1.2*1*'Cost break dow.'!V298</f>
        <v>1185.9072711221672</v>
      </c>
      <c r="F166" s="302">
        <f>D166*E166</f>
        <v>18974.516337954676</v>
      </c>
      <c r="H166" s="123"/>
      <c r="I166" s="91"/>
    </row>
    <row r="167" spans="1:9" ht="12.75">
      <c r="A167" s="119"/>
      <c r="B167" s="148"/>
      <c r="C167" s="2"/>
      <c r="D167" s="86"/>
      <c r="E167" s="302"/>
      <c r="F167" s="302"/>
      <c r="H167" s="123"/>
      <c r="I167" s="91"/>
    </row>
    <row r="168" spans="1:9" ht="12.75">
      <c r="A168" s="119"/>
      <c r="B168" s="149" t="s">
        <v>2967</v>
      </c>
      <c r="C168" s="2"/>
      <c r="D168" s="86"/>
      <c r="E168" s="302"/>
      <c r="F168" s="321">
        <f>F162+F166</f>
        <v>29351.20496027364</v>
      </c>
      <c r="H168" s="134"/>
      <c r="I168" s="91"/>
    </row>
    <row r="169" spans="1:9" ht="12.75">
      <c r="A169" s="119"/>
      <c r="B169" s="133"/>
      <c r="C169" s="2"/>
      <c r="D169" s="86"/>
      <c r="E169" s="302"/>
      <c r="F169" s="302"/>
      <c r="H169" s="123"/>
      <c r="I169" s="91"/>
    </row>
    <row r="170" spans="1:9" ht="12.75">
      <c r="A170" s="146">
        <v>5</v>
      </c>
      <c r="B170" s="109" t="s">
        <v>3163</v>
      </c>
      <c r="C170" s="5"/>
      <c r="D170" s="129"/>
      <c r="E170" s="321"/>
      <c r="F170" s="321"/>
      <c r="H170" s="130"/>
      <c r="I170" s="98"/>
    </row>
    <row r="171" spans="1:9" ht="12.75">
      <c r="A171" s="127"/>
      <c r="B171" s="132"/>
      <c r="C171" s="2"/>
      <c r="D171" s="86"/>
      <c r="E171" s="302"/>
      <c r="F171" s="302"/>
      <c r="H171" s="123"/>
      <c r="I171" s="91"/>
    </row>
    <row r="172" spans="1:9" ht="25.5">
      <c r="A172" s="127"/>
      <c r="B172" s="84" t="s">
        <v>2968</v>
      </c>
      <c r="C172" s="2"/>
      <c r="D172" s="86"/>
      <c r="E172" s="302"/>
      <c r="F172" s="302"/>
      <c r="H172" s="123"/>
      <c r="I172" s="91"/>
    </row>
    <row r="173" spans="1:9" ht="12.75">
      <c r="A173" s="127"/>
      <c r="B173" s="84"/>
      <c r="C173" s="2"/>
      <c r="D173" s="86"/>
      <c r="E173" s="302"/>
      <c r="F173" s="302"/>
      <c r="H173" s="123"/>
      <c r="I173" s="91"/>
    </row>
    <row r="174" spans="1:9" ht="14.25">
      <c r="A174" s="119">
        <v>5.1</v>
      </c>
      <c r="B174" s="84" t="s">
        <v>2969</v>
      </c>
      <c r="C174" s="2" t="s">
        <v>1565</v>
      </c>
      <c r="D174" s="86">
        <v>206</v>
      </c>
      <c r="E174" s="302">
        <f>'Cost break dow.'!V336</f>
        <v>159.96728093410925</v>
      </c>
      <c r="F174" s="302">
        <f>D174*E174</f>
        <v>32953.259872426504</v>
      </c>
      <c r="H174" s="123"/>
      <c r="I174" s="91"/>
    </row>
    <row r="175" spans="1:9" ht="12.75">
      <c r="A175" s="119"/>
      <c r="B175" s="84"/>
      <c r="C175" s="2"/>
      <c r="D175" s="86"/>
      <c r="E175" s="302"/>
      <c r="F175" s="302"/>
      <c r="H175" s="123"/>
      <c r="I175" s="91"/>
    </row>
    <row r="176" spans="1:9" ht="14.25">
      <c r="A176" s="119">
        <v>5.2</v>
      </c>
      <c r="B176" s="84" t="s">
        <v>2970</v>
      </c>
      <c r="C176" s="2" t="s">
        <v>1565</v>
      </c>
      <c r="D176" s="86">
        <v>67</v>
      </c>
      <c r="E176" s="302">
        <f>E174</f>
        <v>159.96728093410925</v>
      </c>
      <c r="F176" s="302">
        <f>D176*E176</f>
        <v>10717.80782258532</v>
      </c>
      <c r="H176" s="123"/>
      <c r="I176" s="91"/>
    </row>
    <row r="177" spans="1:9" ht="12.75">
      <c r="A177" s="119"/>
      <c r="B177" s="84"/>
      <c r="C177" s="2"/>
      <c r="D177" s="86"/>
      <c r="E177" s="302"/>
      <c r="F177" s="302"/>
      <c r="H177" s="123"/>
      <c r="I177" s="91"/>
    </row>
    <row r="178" spans="1:9" ht="14.25">
      <c r="A178" s="127">
        <v>5.3</v>
      </c>
      <c r="B178" s="84" t="s">
        <v>2971</v>
      </c>
      <c r="C178" s="2" t="s">
        <v>1565</v>
      </c>
      <c r="D178" s="86">
        <v>37</v>
      </c>
      <c r="E178" s="302">
        <f>E174</f>
        <v>159.96728093410925</v>
      </c>
      <c r="F178" s="302">
        <f>D178*E178</f>
        <v>5918.789394562043</v>
      </c>
      <c r="H178" s="123"/>
      <c r="I178" s="91"/>
    </row>
    <row r="179" spans="1:9" ht="12.75">
      <c r="A179" s="127"/>
      <c r="B179" s="84"/>
      <c r="C179" s="2"/>
      <c r="D179" s="86"/>
      <c r="E179" s="302"/>
      <c r="F179" s="302"/>
      <c r="H179" s="123"/>
      <c r="I179" s="91"/>
    </row>
    <row r="180" spans="1:9" ht="38.25">
      <c r="A180" s="127">
        <v>5.4</v>
      </c>
      <c r="B180" s="84" t="s">
        <v>2972</v>
      </c>
      <c r="C180" s="2" t="s">
        <v>1565</v>
      </c>
      <c r="D180" s="86">
        <v>157</v>
      </c>
      <c r="E180" s="302">
        <f>E174</f>
        <v>159.96728093410925</v>
      </c>
      <c r="F180" s="302">
        <f>D180*E180</f>
        <v>25114.863106655153</v>
      </c>
      <c r="H180" s="123"/>
      <c r="I180" s="91"/>
    </row>
    <row r="181" spans="1:9" ht="12.75">
      <c r="A181" s="127"/>
      <c r="B181" s="84"/>
      <c r="C181" s="2"/>
      <c r="D181" s="86"/>
      <c r="E181" s="302"/>
      <c r="F181" s="302"/>
      <c r="H181" s="123"/>
      <c r="I181" s="91"/>
    </row>
    <row r="182" spans="1:9" ht="13.5" thickBot="1">
      <c r="A182" s="127"/>
      <c r="B182" s="133" t="s">
        <v>2154</v>
      </c>
      <c r="C182" s="2"/>
      <c r="D182" s="86"/>
      <c r="E182" s="302"/>
      <c r="F182" s="322">
        <f>F174+F176+F178+F180</f>
        <v>74704.72019622903</v>
      </c>
      <c r="H182" s="134"/>
      <c r="I182" s="91"/>
    </row>
    <row r="183" spans="1:9" ht="13.5" thickTop="1">
      <c r="A183" s="127"/>
      <c r="B183" s="84"/>
      <c r="C183" s="2"/>
      <c r="D183" s="86"/>
      <c r="E183" s="302"/>
      <c r="F183" s="321"/>
      <c r="H183" s="123"/>
      <c r="I183" s="91"/>
    </row>
    <row r="184" spans="1:9" ht="12.75">
      <c r="A184" s="146">
        <v>6</v>
      </c>
      <c r="B184" s="109" t="s">
        <v>3165</v>
      </c>
      <c r="C184" s="5"/>
      <c r="D184" s="129"/>
      <c r="E184" s="321"/>
      <c r="F184" s="321"/>
      <c r="H184" s="130"/>
      <c r="I184" s="98"/>
    </row>
    <row r="185" spans="1:9" ht="12.75">
      <c r="A185" s="127"/>
      <c r="B185" s="132"/>
      <c r="C185" s="2"/>
      <c r="D185" s="86"/>
      <c r="E185" s="302"/>
      <c r="F185" s="302"/>
      <c r="H185" s="123"/>
      <c r="I185" s="91"/>
    </row>
    <row r="186" spans="1:9" ht="25.5">
      <c r="A186" s="127"/>
      <c r="B186" s="84" t="s">
        <v>2973</v>
      </c>
      <c r="C186" s="2"/>
      <c r="D186" s="86"/>
      <c r="E186" s="302"/>
      <c r="F186" s="302"/>
      <c r="H186" s="123"/>
      <c r="I186" s="91"/>
    </row>
    <row r="187" spans="1:9" ht="12.75">
      <c r="A187" s="127"/>
      <c r="B187" s="84"/>
      <c r="C187" s="2"/>
      <c r="D187" s="86"/>
      <c r="E187" s="302"/>
      <c r="F187" s="302"/>
      <c r="H187" s="123"/>
      <c r="I187" s="91"/>
    </row>
    <row r="188" spans="1:9" ht="14.25">
      <c r="A188" s="119">
        <v>6.1</v>
      </c>
      <c r="B188" s="84" t="s">
        <v>2974</v>
      </c>
      <c r="C188" s="2" t="s">
        <v>1565</v>
      </c>
      <c r="D188" s="86">
        <v>206</v>
      </c>
      <c r="E188" s="302">
        <f>'Cost break dow.'!V495</f>
        <v>49.73559579465977</v>
      </c>
      <c r="F188" s="302">
        <f>D188*E188</f>
        <v>10245.532733699913</v>
      </c>
      <c r="H188" s="123"/>
      <c r="I188" s="91"/>
    </row>
    <row r="189" spans="1:9" ht="12.75">
      <c r="A189" s="119"/>
      <c r="B189" s="84"/>
      <c r="C189" s="2"/>
      <c r="D189" s="86"/>
      <c r="E189" s="302"/>
      <c r="F189" s="302"/>
      <c r="H189" s="123"/>
      <c r="I189" s="91"/>
    </row>
    <row r="190" spans="1:9" ht="14.25">
      <c r="A190" s="119">
        <v>6.2</v>
      </c>
      <c r="B190" s="84" t="s">
        <v>2970</v>
      </c>
      <c r="C190" s="2" t="s">
        <v>1565</v>
      </c>
      <c r="D190" s="86">
        <v>67</v>
      </c>
      <c r="E190" s="302">
        <f>E188</f>
        <v>49.73559579465977</v>
      </c>
      <c r="F190" s="302">
        <f>D190*E190</f>
        <v>3332.2849182422046</v>
      </c>
      <c r="H190" s="123"/>
      <c r="I190" s="91"/>
    </row>
    <row r="191" spans="1:9" ht="12.75">
      <c r="A191" s="127"/>
      <c r="B191" s="84"/>
      <c r="C191" s="2"/>
      <c r="D191" s="86"/>
      <c r="E191" s="302"/>
      <c r="F191" s="302"/>
      <c r="H191" s="123"/>
      <c r="I191" s="91"/>
    </row>
    <row r="192" spans="1:9" ht="14.25">
      <c r="A192" s="127">
        <v>6.3</v>
      </c>
      <c r="B192" s="84" t="s">
        <v>2971</v>
      </c>
      <c r="C192" s="2" t="s">
        <v>1565</v>
      </c>
      <c r="D192" s="86">
        <v>37</v>
      </c>
      <c r="E192" s="302">
        <f>E188</f>
        <v>49.73559579465977</v>
      </c>
      <c r="F192" s="302">
        <f>D192*E192</f>
        <v>1840.2170444024116</v>
      </c>
      <c r="H192" s="123"/>
      <c r="I192" s="91"/>
    </row>
    <row r="193" spans="1:9" ht="12.75">
      <c r="A193" s="127"/>
      <c r="B193" s="84"/>
      <c r="C193" s="2"/>
      <c r="D193" s="86"/>
      <c r="E193" s="302"/>
      <c r="F193" s="302"/>
      <c r="H193" s="123"/>
      <c r="I193" s="91"/>
    </row>
    <row r="194" spans="1:9" ht="13.5" thickBot="1">
      <c r="A194" s="127"/>
      <c r="B194" s="133" t="s">
        <v>2154</v>
      </c>
      <c r="C194" s="2"/>
      <c r="D194" s="86"/>
      <c r="E194" s="302"/>
      <c r="F194" s="322">
        <f>F188+F190+F192</f>
        <v>15418.03469634453</v>
      </c>
      <c r="H194" s="134"/>
      <c r="I194" s="91"/>
    </row>
    <row r="195" spans="1:9" ht="13.5" thickTop="1">
      <c r="A195" s="119"/>
      <c r="B195" s="84"/>
      <c r="C195" s="2"/>
      <c r="D195" s="86"/>
      <c r="E195" s="302"/>
      <c r="F195" s="302"/>
      <c r="H195" s="123"/>
      <c r="I195" s="91"/>
    </row>
    <row r="196" spans="1:9" ht="12.75">
      <c r="A196" s="85"/>
      <c r="B196" s="7"/>
      <c r="C196" s="7"/>
      <c r="D196" s="129"/>
      <c r="E196" s="364"/>
      <c r="F196" s="337"/>
      <c r="H196" s="7"/>
      <c r="I196" s="7"/>
    </row>
    <row r="197" spans="1:9" ht="12.75">
      <c r="A197" s="85"/>
      <c r="B197" s="7"/>
      <c r="C197" s="7"/>
      <c r="D197" s="129"/>
      <c r="E197" s="364"/>
      <c r="F197" s="337"/>
      <c r="H197" s="7"/>
      <c r="I197" s="7"/>
    </row>
    <row r="198" spans="1:9" ht="12.75">
      <c r="A198" s="14"/>
      <c r="B198" s="150"/>
      <c r="C198" s="19"/>
      <c r="D198" s="19"/>
      <c r="E198" s="317"/>
      <c r="F198" s="317"/>
      <c r="H198" s="64"/>
      <c r="I198" s="64"/>
    </row>
    <row r="199" spans="1:9" ht="12.75">
      <c r="A199" s="17"/>
      <c r="B199" s="84"/>
      <c r="C199" s="19"/>
      <c r="D199" s="151"/>
      <c r="E199" s="317"/>
      <c r="F199" s="317"/>
      <c r="H199" s="64"/>
      <c r="I199" s="64"/>
    </row>
    <row r="200" spans="1:9" ht="12.75">
      <c r="A200" s="17"/>
      <c r="B200" s="152"/>
      <c r="C200" s="19"/>
      <c r="D200" s="151"/>
      <c r="E200" s="317"/>
      <c r="F200" s="317"/>
      <c r="H200" s="64"/>
      <c r="I200" s="64"/>
    </row>
    <row r="201" spans="1:9" ht="12.75">
      <c r="A201" s="153"/>
      <c r="B201" s="150"/>
      <c r="C201" s="19"/>
      <c r="D201" s="151"/>
      <c r="E201" s="317"/>
      <c r="F201" s="317"/>
      <c r="H201" s="64"/>
      <c r="I201" s="64"/>
    </row>
    <row r="202" spans="1:9" ht="12.75">
      <c r="A202" s="154"/>
      <c r="B202" s="150"/>
      <c r="C202" s="19"/>
      <c r="D202" s="151"/>
      <c r="E202" s="299"/>
      <c r="F202" s="317"/>
      <c r="H202" s="64"/>
      <c r="I202" s="64"/>
    </row>
    <row r="203" spans="1:9" ht="12.75">
      <c r="A203" s="155"/>
      <c r="B203" s="84"/>
      <c r="C203" s="19"/>
      <c r="D203" s="151"/>
      <c r="E203" s="317"/>
      <c r="F203" s="317"/>
      <c r="H203" s="64"/>
      <c r="I203" s="64"/>
    </row>
    <row r="204" spans="1:9" ht="12.75">
      <c r="A204" s="156"/>
      <c r="B204" s="157"/>
      <c r="C204" s="19"/>
      <c r="D204" s="151"/>
      <c r="E204" s="317"/>
      <c r="F204" s="317"/>
      <c r="H204" s="64"/>
      <c r="I204" s="64"/>
    </row>
    <row r="205" spans="1:9" ht="12.75">
      <c r="A205" s="155"/>
      <c r="B205" s="84"/>
      <c r="C205" s="19"/>
      <c r="D205" s="151"/>
      <c r="E205" s="299"/>
      <c r="F205" s="317"/>
      <c r="H205" s="64"/>
      <c r="I205" s="64"/>
    </row>
    <row r="206" spans="1:9" ht="12.75">
      <c r="A206" s="156"/>
      <c r="B206" s="158"/>
      <c r="C206" s="64"/>
      <c r="D206" s="151"/>
      <c r="E206" s="317"/>
      <c r="F206" s="317"/>
      <c r="H206" s="64"/>
      <c r="I206" s="64"/>
    </row>
    <row r="207" spans="1:9" ht="12.75">
      <c r="A207" s="159"/>
      <c r="B207" s="150"/>
      <c r="C207" s="19"/>
      <c r="D207" s="151"/>
      <c r="E207" s="299"/>
      <c r="F207" s="317"/>
      <c r="H207" s="64"/>
      <c r="I207" s="64"/>
    </row>
    <row r="208" spans="1:9" ht="12.75">
      <c r="A208" s="159"/>
      <c r="B208" s="150"/>
      <c r="C208" s="19"/>
      <c r="D208" s="151"/>
      <c r="E208" s="299"/>
      <c r="F208" s="317"/>
      <c r="H208" s="64"/>
      <c r="I208" s="64"/>
    </row>
    <row r="209" spans="1:9" ht="12.75">
      <c r="A209" s="155"/>
      <c r="B209" s="84"/>
      <c r="C209" s="34"/>
      <c r="D209" s="160"/>
      <c r="E209" s="299"/>
      <c r="F209" s="317"/>
      <c r="H209" s="64"/>
      <c r="I209" s="64"/>
    </row>
    <row r="210" spans="1:9" ht="12.75">
      <c r="A210" s="157"/>
      <c r="B210" s="157"/>
      <c r="C210" s="157"/>
      <c r="D210" s="161"/>
      <c r="E210" s="299"/>
      <c r="F210" s="317"/>
      <c r="H210" s="64"/>
      <c r="I210" s="64"/>
    </row>
    <row r="211" spans="1:9" ht="12.75">
      <c r="A211" s="157"/>
      <c r="B211" s="157"/>
      <c r="C211" s="157"/>
      <c r="D211" s="161"/>
      <c r="E211" s="317"/>
      <c r="F211" s="317"/>
      <c r="H211" s="64"/>
      <c r="I211" s="64"/>
    </row>
    <row r="212" spans="1:9" ht="12.75">
      <c r="A212" s="2"/>
      <c r="B212" s="89"/>
      <c r="C212" s="43"/>
      <c r="D212" s="162"/>
      <c r="E212" s="361"/>
      <c r="H212" s="72"/>
      <c r="I212" s="72"/>
    </row>
  </sheetData>
  <sheetProtection/>
  <printOptions/>
  <pageMargins left="0.5" right="0.25" top="1" bottom="1" header="0.37" footer="0.5"/>
  <pageSetup firstPageNumber="102" useFirstPageNumber="1" horizontalDpi="600" verticalDpi="600" orientation="portrait" r:id="rId1"/>
  <rowBreaks count="8" manualBreakCount="8">
    <brk id="34" max="255" man="1"/>
    <brk id="52" max="255" man="1"/>
    <brk id="95" max="255" man="1"/>
    <brk id="136" max="255" man="1"/>
    <brk id="142" max="255" man="1"/>
    <brk id="154" max="255" man="1"/>
    <brk id="168" max="255" man="1"/>
    <brk id="182" max="255" man="1"/>
  </rowBreaks>
  <ignoredErrors>
    <ignoredError sqref="A54 A84:A92" numberStoredAsText="1"/>
  </ignoredErrors>
</worksheet>
</file>

<file path=xl/worksheets/sheet13.xml><?xml version="1.0" encoding="utf-8"?>
<worksheet xmlns="http://schemas.openxmlformats.org/spreadsheetml/2006/main" xmlns:r="http://schemas.openxmlformats.org/officeDocument/2006/relationships">
  <dimension ref="A1:IV1025"/>
  <sheetViews>
    <sheetView zoomScaleSheetLayoutView="100" zoomScalePageLayoutView="0" workbookViewId="0" topLeftCell="B1">
      <selection activeCell="E149" sqref="E149"/>
    </sheetView>
  </sheetViews>
  <sheetFormatPr defaultColWidth="9.140625" defaultRowHeight="12.75"/>
  <cols>
    <col min="1" max="1" width="7.57421875" style="2" customWidth="1"/>
    <col min="2" max="2" width="47.00390625" style="43" customWidth="1"/>
    <col min="3" max="3" width="5.421875" style="43" customWidth="1"/>
    <col min="4" max="4" width="12.28125" style="284" customWidth="1"/>
    <col min="5" max="5" width="10.00390625" style="392" customWidth="1"/>
    <col min="6" max="6" width="12.57421875" style="392" customWidth="1"/>
    <col min="7" max="16384" width="9.140625" style="43" customWidth="1"/>
  </cols>
  <sheetData>
    <row r="1" spans="1:6" s="179" customFormat="1" ht="12.75">
      <c r="A1" s="177"/>
      <c r="B1" s="178"/>
      <c r="D1" s="228"/>
      <c r="E1" s="368"/>
      <c r="F1" s="368"/>
    </row>
    <row r="2" spans="1:6" s="179" customFormat="1" ht="12.75">
      <c r="A2" s="180"/>
      <c r="B2" s="368" t="s">
        <v>178</v>
      </c>
      <c r="C2" s="368"/>
      <c r="D2" s="368"/>
      <c r="E2" s="368"/>
      <c r="F2" s="368"/>
    </row>
    <row r="3" spans="1:6" s="179" customFormat="1" ht="12.75">
      <c r="A3" s="180"/>
      <c r="D3" s="228"/>
      <c r="E3" s="368"/>
      <c r="F3" s="368"/>
    </row>
    <row r="4" spans="1:6" s="179" customFormat="1" ht="12.75">
      <c r="A4" s="180"/>
      <c r="B4" s="181" t="s">
        <v>2975</v>
      </c>
      <c r="D4" s="228"/>
      <c r="E4" s="368"/>
      <c r="F4" s="368"/>
    </row>
    <row r="5" spans="1:6" s="179" customFormat="1" ht="12.75">
      <c r="A5" s="180"/>
      <c r="B5" s="182"/>
      <c r="D5" s="228"/>
      <c r="E5" s="368"/>
      <c r="F5" s="368"/>
    </row>
    <row r="6" spans="1:6" s="185" customFormat="1" ht="12.75">
      <c r="A6" s="183">
        <v>1</v>
      </c>
      <c r="B6" s="184" t="s">
        <v>2976</v>
      </c>
      <c r="C6" s="176" t="s">
        <v>3152</v>
      </c>
      <c r="D6" s="365">
        <f>F30</f>
        <v>103500</v>
      </c>
      <c r="E6" s="366"/>
      <c r="F6" s="367"/>
    </row>
    <row r="7" spans="1:6" s="185" customFormat="1" ht="12.75">
      <c r="A7" s="183"/>
      <c r="B7" s="184"/>
      <c r="C7" s="176"/>
      <c r="D7" s="366"/>
      <c r="E7" s="366"/>
      <c r="F7" s="367"/>
    </row>
    <row r="8" spans="1:6" s="185" customFormat="1" ht="12.75">
      <c r="A8" s="183">
        <v>2</v>
      </c>
      <c r="B8" s="184" t="s">
        <v>2977</v>
      </c>
      <c r="C8" s="176" t="s">
        <v>2148</v>
      </c>
      <c r="D8" s="367">
        <f>F61</f>
        <v>276342.99375225324</v>
      </c>
      <c r="E8" s="366"/>
      <c r="F8" s="366"/>
    </row>
    <row r="9" spans="1:6" s="185" customFormat="1" ht="12.75">
      <c r="A9" s="183"/>
      <c r="B9" s="184"/>
      <c r="C9" s="176"/>
      <c r="D9" s="367"/>
      <c r="E9" s="366"/>
      <c r="F9" s="366"/>
    </row>
    <row r="10" spans="1:6" s="185" customFormat="1" ht="12.75">
      <c r="A10" s="183">
        <v>3</v>
      </c>
      <c r="B10" s="184" t="s">
        <v>2552</v>
      </c>
      <c r="C10" s="176" t="s">
        <v>2148</v>
      </c>
      <c r="D10" s="367">
        <f>F65</f>
        <v>60000</v>
      </c>
      <c r="E10" s="366"/>
      <c r="F10" s="366"/>
    </row>
    <row r="11" spans="1:6" s="185" customFormat="1" ht="12.75">
      <c r="A11" s="183"/>
      <c r="B11" s="184"/>
      <c r="C11" s="176"/>
      <c r="D11" s="367"/>
      <c r="E11" s="366"/>
      <c r="F11" s="366"/>
    </row>
    <row r="12" spans="1:6" s="185" customFormat="1" ht="12.75">
      <c r="A12" s="183">
        <v>4</v>
      </c>
      <c r="B12" s="184" t="s">
        <v>2721</v>
      </c>
      <c r="C12" s="176" t="s">
        <v>2148</v>
      </c>
      <c r="D12" s="367">
        <f>F223</f>
        <v>128248.09271218111</v>
      </c>
      <c r="E12" s="366"/>
      <c r="F12" s="366"/>
    </row>
    <row r="13" spans="1:6" s="185" customFormat="1" ht="12.75">
      <c r="A13" s="183"/>
      <c r="B13" s="184"/>
      <c r="C13" s="176"/>
      <c r="D13" s="367"/>
      <c r="E13" s="366"/>
      <c r="F13" s="366"/>
    </row>
    <row r="14" spans="1:6" s="185" customFormat="1" ht="12.75">
      <c r="A14" s="183">
        <v>5</v>
      </c>
      <c r="B14" s="184" t="s">
        <v>1409</v>
      </c>
      <c r="C14" s="176" t="s">
        <v>2148</v>
      </c>
      <c r="D14" s="367">
        <f>F462</f>
        <v>976443.566661712</v>
      </c>
      <c r="E14" s="366"/>
      <c r="F14" s="366"/>
    </row>
    <row r="15" spans="1:6" s="185" customFormat="1" ht="12.75">
      <c r="A15" s="183"/>
      <c r="B15" s="184"/>
      <c r="C15" s="176"/>
      <c r="D15" s="367"/>
      <c r="E15" s="366"/>
      <c r="F15" s="366"/>
    </row>
    <row r="16" spans="1:6" s="185" customFormat="1" ht="12.75">
      <c r="A16" s="183">
        <v>6</v>
      </c>
      <c r="B16" s="184" t="s">
        <v>1410</v>
      </c>
      <c r="C16" s="176" t="s">
        <v>2148</v>
      </c>
      <c r="D16" s="365">
        <f>F567</f>
        <v>398734.30610309634</v>
      </c>
      <c r="E16" s="366"/>
      <c r="F16" s="366"/>
    </row>
    <row r="17" spans="1:6" s="185" customFormat="1" ht="12.75">
      <c r="A17" s="183"/>
      <c r="B17" s="184"/>
      <c r="C17" s="176"/>
      <c r="D17" s="365"/>
      <c r="E17" s="366"/>
      <c r="F17" s="366"/>
    </row>
    <row r="18" spans="1:6" s="7" customFormat="1" ht="13.5" thickBot="1">
      <c r="A18" s="76"/>
      <c r="B18" s="11" t="s">
        <v>2765</v>
      </c>
      <c r="C18" s="5" t="s">
        <v>3154</v>
      </c>
      <c r="D18" s="331">
        <f>SUM(D4:D17)</f>
        <v>1943268.9592292428</v>
      </c>
      <c r="E18" s="290"/>
      <c r="F18" s="287"/>
    </row>
    <row r="19" spans="1:6" s="185" customFormat="1" ht="13.5" thickTop="1">
      <c r="A19" s="183"/>
      <c r="B19" s="184"/>
      <c r="C19" s="176"/>
      <c r="D19" s="365"/>
      <c r="E19" s="366"/>
      <c r="F19" s="366"/>
    </row>
    <row r="20" spans="1:6" s="179" customFormat="1" ht="12.75">
      <c r="A20" s="180"/>
      <c r="D20" s="368"/>
      <c r="E20" s="368"/>
      <c r="F20" s="228"/>
    </row>
    <row r="21" spans="1:11" s="7" customFormat="1" ht="12.75">
      <c r="A21" s="21" t="s">
        <v>3174</v>
      </c>
      <c r="B21" s="21" t="s">
        <v>3175</v>
      </c>
      <c r="C21" s="22" t="s">
        <v>3176</v>
      </c>
      <c r="D21" s="296" t="s">
        <v>3177</v>
      </c>
      <c r="E21" s="121" t="s">
        <v>3178</v>
      </c>
      <c r="F21" s="121" t="s">
        <v>3179</v>
      </c>
      <c r="G21" s="13"/>
      <c r="H21" s="13"/>
      <c r="I21" s="13"/>
      <c r="J21" s="13"/>
      <c r="K21" s="13"/>
    </row>
    <row r="22" spans="1:6" s="188" customFormat="1" ht="12" customHeight="1">
      <c r="A22" s="186"/>
      <c r="B22" s="187"/>
      <c r="C22" s="73"/>
      <c r="D22" s="369"/>
      <c r="E22" s="299"/>
      <c r="F22" s="299"/>
    </row>
    <row r="23" spans="1:6" s="190" customFormat="1" ht="12.75">
      <c r="A23" s="177"/>
      <c r="B23" s="181" t="s">
        <v>2978</v>
      </c>
      <c r="C23" s="189"/>
      <c r="D23" s="189"/>
      <c r="E23" s="379"/>
      <c r="F23" s="302"/>
    </row>
    <row r="24" spans="1:6" s="190" customFormat="1" ht="11.25" customHeight="1">
      <c r="A24" s="177"/>
      <c r="C24" s="191"/>
      <c r="D24" s="220"/>
      <c r="E24" s="302"/>
      <c r="F24" s="302"/>
    </row>
    <row r="25" spans="1:6" s="194" customFormat="1" ht="12.75" customHeight="1">
      <c r="A25" s="192" t="s">
        <v>2979</v>
      </c>
      <c r="B25" s="193" t="s">
        <v>2976</v>
      </c>
      <c r="C25" s="110"/>
      <c r="D25" s="370"/>
      <c r="E25" s="321"/>
      <c r="F25" s="321"/>
    </row>
    <row r="26" spans="1:6" s="190" customFormat="1" ht="12.75" customHeight="1">
      <c r="A26" s="177"/>
      <c r="C26" s="191"/>
      <c r="D26" s="220"/>
      <c r="E26" s="302"/>
      <c r="F26" s="302"/>
    </row>
    <row r="27" spans="1:6" s="190" customFormat="1" ht="76.5">
      <c r="A27" s="177">
        <v>1.1</v>
      </c>
      <c r="B27" s="182" t="s">
        <v>2353</v>
      </c>
      <c r="C27" s="191" t="s">
        <v>92</v>
      </c>
      <c r="D27" s="220">
        <v>100</v>
      </c>
      <c r="E27" s="220">
        <f>1035</f>
        <v>1035</v>
      </c>
      <c r="F27" s="313">
        <f>D27*E27</f>
        <v>103500</v>
      </c>
    </row>
    <row r="28" spans="1:6" s="190" customFormat="1" ht="92.25" customHeight="1" hidden="1">
      <c r="A28" s="177"/>
      <c r="B28" s="195"/>
      <c r="C28" s="191"/>
      <c r="D28" s="220"/>
      <c r="E28" s="332"/>
      <c r="F28" s="313">
        <f>D28*E28</f>
        <v>0</v>
      </c>
    </row>
    <row r="29" spans="1:6" s="190" customFormat="1" ht="12.75">
      <c r="A29" s="177"/>
      <c r="B29" s="182"/>
      <c r="C29" s="191"/>
      <c r="D29" s="220"/>
      <c r="E29" s="332"/>
      <c r="F29" s="313"/>
    </row>
    <row r="30" spans="1:6" s="190" customFormat="1" ht="12.75">
      <c r="A30" s="177"/>
      <c r="B30" s="196" t="s">
        <v>2354</v>
      </c>
      <c r="C30" s="191"/>
      <c r="D30" s="220"/>
      <c r="E30" s="302"/>
      <c r="F30" s="459">
        <f>F27</f>
        <v>103500</v>
      </c>
    </row>
    <row r="31" spans="1:6" s="190" customFormat="1" ht="12.75">
      <c r="A31" s="177"/>
      <c r="B31" s="197"/>
      <c r="C31" s="191"/>
      <c r="D31" s="220"/>
      <c r="E31" s="302"/>
      <c r="F31" s="458"/>
    </row>
    <row r="32" spans="1:6" s="190" customFormat="1" ht="12.75">
      <c r="A32" s="177"/>
      <c r="C32" s="191"/>
      <c r="D32" s="220"/>
      <c r="E32" s="302"/>
      <c r="F32" s="302"/>
    </row>
    <row r="33" spans="1:6" s="190" customFormat="1" ht="12.75">
      <c r="A33" s="192" t="s">
        <v>44</v>
      </c>
      <c r="B33" s="193" t="s">
        <v>2977</v>
      </c>
      <c r="C33" s="191"/>
      <c r="D33" s="220"/>
      <c r="E33" s="302"/>
      <c r="F33" s="302"/>
    </row>
    <row r="34" spans="1:6" s="190" customFormat="1" ht="12.75">
      <c r="A34" s="177"/>
      <c r="C34" s="191"/>
      <c r="D34" s="220"/>
      <c r="E34" s="302"/>
      <c r="F34" s="302"/>
    </row>
    <row r="35" spans="1:6" s="190" customFormat="1" ht="12.75" customHeight="1">
      <c r="A35" s="177"/>
      <c r="B35" s="184" t="s">
        <v>2355</v>
      </c>
      <c r="C35" s="198"/>
      <c r="D35" s="371"/>
      <c r="E35" s="381"/>
      <c r="F35" s="381"/>
    </row>
    <row r="36" spans="1:6" s="190" customFormat="1" ht="12.75">
      <c r="A36" s="199"/>
      <c r="B36" s="200"/>
      <c r="C36" s="198"/>
      <c r="D36" s="371"/>
      <c r="E36" s="381"/>
      <c r="F36" s="381"/>
    </row>
    <row r="37" spans="1:6" s="190" customFormat="1" ht="14.25">
      <c r="A37" s="177">
        <v>2.1</v>
      </c>
      <c r="B37" s="46" t="s">
        <v>2551</v>
      </c>
      <c r="C37" s="198" t="s">
        <v>1565</v>
      </c>
      <c r="D37" s="371">
        <v>851</v>
      </c>
      <c r="E37" s="381">
        <f>'Trans &amp;gener. House'!E42</f>
        <v>7.114086000118828</v>
      </c>
      <c r="F37" s="381">
        <f>D37*E37</f>
        <v>6054.087186101123</v>
      </c>
    </row>
    <row r="38" spans="1:6" s="190" customFormat="1" ht="12.75">
      <c r="A38" s="177"/>
      <c r="C38" s="191"/>
      <c r="D38" s="220"/>
      <c r="E38" s="302"/>
      <c r="F38" s="302"/>
    </row>
    <row r="39" spans="1:6" s="190" customFormat="1" ht="27" customHeight="1">
      <c r="A39" s="177">
        <v>2.2</v>
      </c>
      <c r="B39" s="201" t="s">
        <v>2356</v>
      </c>
      <c r="C39" s="191" t="s">
        <v>1567</v>
      </c>
      <c r="D39" s="202">
        <v>425</v>
      </c>
      <c r="E39" s="382">
        <f>'Cost break dow.'!V18</f>
        <v>30.954561738296125</v>
      </c>
      <c r="F39" s="382">
        <f>D39*E39</f>
        <v>13155.688738775852</v>
      </c>
    </row>
    <row r="40" spans="1:6" s="190" customFormat="1" ht="12.75">
      <c r="A40" s="203"/>
      <c r="B40" s="204"/>
      <c r="C40" s="189"/>
      <c r="D40" s="189"/>
      <c r="E40" s="379"/>
      <c r="F40" s="379"/>
    </row>
    <row r="41" spans="1:6" s="190" customFormat="1" ht="16.5" customHeight="1">
      <c r="A41" s="177">
        <v>2.3</v>
      </c>
      <c r="B41" s="205" t="s">
        <v>2357</v>
      </c>
      <c r="C41" s="191" t="s">
        <v>1567</v>
      </c>
      <c r="D41" s="202">
        <v>598</v>
      </c>
      <c r="E41" s="382">
        <f>'Cost break dow.'!V54</f>
        <v>97.80008633385177</v>
      </c>
      <c r="F41" s="382">
        <f>D41*E41</f>
        <v>58484.45162764336</v>
      </c>
    </row>
    <row r="42" spans="1:6" s="190" customFormat="1" ht="12.75">
      <c r="A42" s="203"/>
      <c r="B42" s="206"/>
      <c r="C42" s="191"/>
      <c r="D42" s="220"/>
      <c r="E42" s="302"/>
      <c r="F42" s="302"/>
    </row>
    <row r="43" spans="1:6" s="190" customFormat="1" ht="114.75" customHeight="1">
      <c r="A43" s="177">
        <v>2.4</v>
      </c>
      <c r="B43" s="201" t="s">
        <v>1180</v>
      </c>
      <c r="C43" s="191" t="s">
        <v>1567</v>
      </c>
      <c r="D43" s="202">
        <v>341</v>
      </c>
      <c r="E43" s="382">
        <f>'Cost break dow.'!V912</f>
        <v>214.49353321635107</v>
      </c>
      <c r="F43" s="382">
        <f>D43*E43</f>
        <v>73142.29482677572</v>
      </c>
    </row>
    <row r="44" spans="1:6" s="190" customFormat="1" ht="12.75">
      <c r="A44" s="203"/>
      <c r="B44" s="207"/>
      <c r="C44" s="189"/>
      <c r="D44" s="202"/>
      <c r="E44" s="379"/>
      <c r="F44" s="302"/>
    </row>
    <row r="45" spans="1:6" s="190" customFormat="1" ht="102">
      <c r="A45" s="177">
        <v>2.5</v>
      </c>
      <c r="B45" s="201" t="s">
        <v>1816</v>
      </c>
      <c r="C45" s="198" t="s">
        <v>1565</v>
      </c>
      <c r="D45" s="220">
        <v>851</v>
      </c>
      <c r="E45" s="382"/>
      <c r="F45" s="382"/>
    </row>
    <row r="46" spans="1:6" s="190" customFormat="1" ht="12.75">
      <c r="A46" s="203"/>
      <c r="B46" s="204"/>
      <c r="C46" s="189"/>
      <c r="D46" s="189"/>
      <c r="E46" s="379"/>
      <c r="F46" s="302"/>
    </row>
    <row r="47" spans="1:6" s="190" customFormat="1" ht="25.5">
      <c r="A47" s="177">
        <v>2.6</v>
      </c>
      <c r="B47" s="208" t="s">
        <v>26</v>
      </c>
      <c r="C47" s="209"/>
      <c r="D47" s="189"/>
      <c r="E47" s="379"/>
      <c r="F47" s="302"/>
    </row>
    <row r="48" spans="1:6" s="190" customFormat="1" ht="12.75">
      <c r="A48" s="203"/>
      <c r="B48" s="210"/>
      <c r="C48" s="209"/>
      <c r="D48" s="189"/>
      <c r="E48" s="379"/>
      <c r="F48" s="302"/>
    </row>
    <row r="49" spans="1:6" s="190" customFormat="1" ht="39.75">
      <c r="A49" s="203"/>
      <c r="B49" s="208" t="s">
        <v>27</v>
      </c>
      <c r="C49" s="209"/>
      <c r="D49" s="189"/>
      <c r="E49" s="379"/>
      <c r="F49" s="302"/>
    </row>
    <row r="50" spans="1:6" s="190" customFormat="1" ht="12.75">
      <c r="A50" s="203"/>
      <c r="B50" s="210"/>
      <c r="C50" s="209"/>
      <c r="D50" s="189"/>
      <c r="E50" s="379"/>
      <c r="F50" s="302"/>
    </row>
    <row r="51" spans="1:6" s="190" customFormat="1" ht="39.75">
      <c r="A51" s="203"/>
      <c r="B51" s="208" t="s">
        <v>28</v>
      </c>
      <c r="C51" s="209"/>
      <c r="D51" s="189"/>
      <c r="E51" s="379"/>
      <c r="F51" s="302"/>
    </row>
    <row r="52" spans="1:6" s="190" customFormat="1" ht="12.75">
      <c r="A52" s="203"/>
      <c r="B52" s="208"/>
      <c r="C52" s="209"/>
      <c r="D52" s="189"/>
      <c r="E52" s="379"/>
      <c r="F52" s="302"/>
    </row>
    <row r="53" spans="1:6" s="190" customFormat="1" ht="54.75" customHeight="1">
      <c r="A53" s="203"/>
      <c r="B53" s="208" t="s">
        <v>2881</v>
      </c>
      <c r="C53" s="209"/>
      <c r="D53" s="189"/>
      <c r="E53" s="379"/>
      <c r="F53" s="302"/>
    </row>
    <row r="54" spans="1:6" s="190" customFormat="1" ht="12.75">
      <c r="A54" s="203"/>
      <c r="B54" s="210"/>
      <c r="C54" s="209"/>
      <c r="D54" s="189"/>
      <c r="E54" s="379"/>
      <c r="F54" s="302"/>
    </row>
    <row r="55" spans="1:6" s="190" customFormat="1" ht="29.25" customHeight="1">
      <c r="A55" s="203"/>
      <c r="B55" s="211" t="s">
        <v>2882</v>
      </c>
      <c r="C55" s="209"/>
      <c r="D55" s="189"/>
      <c r="E55" s="379"/>
      <c r="F55" s="302"/>
    </row>
    <row r="56" spans="1:6" s="190" customFormat="1" ht="12.75">
      <c r="A56" s="203"/>
      <c r="B56" s="210"/>
      <c r="C56" s="209"/>
      <c r="D56" s="189"/>
      <c r="E56" s="379"/>
      <c r="F56" s="302"/>
    </row>
    <row r="57" spans="1:6" s="190" customFormat="1" ht="52.5">
      <c r="A57" s="203"/>
      <c r="B57" s="208" t="s">
        <v>2549</v>
      </c>
      <c r="C57" s="198" t="s">
        <v>1565</v>
      </c>
      <c r="D57" s="202">
        <v>851</v>
      </c>
      <c r="E57" s="382">
        <f>'Cost break dow.'!V940</f>
        <v>94.51355957679999</v>
      </c>
      <c r="F57" s="382">
        <f>D57*E57</f>
        <v>80431.0391998568</v>
      </c>
    </row>
    <row r="58" spans="1:6" s="190" customFormat="1" ht="12.75">
      <c r="A58" s="203"/>
      <c r="B58" s="208"/>
      <c r="C58" s="202"/>
      <c r="D58" s="202"/>
      <c r="E58" s="382"/>
      <c r="F58" s="382"/>
    </row>
    <row r="59" spans="1:6" s="190" customFormat="1" ht="51">
      <c r="A59" s="177">
        <v>2.7</v>
      </c>
      <c r="B59" s="211" t="s">
        <v>2550</v>
      </c>
      <c r="C59" s="209" t="s">
        <v>92</v>
      </c>
      <c r="D59" s="189">
        <v>235</v>
      </c>
      <c r="E59" s="382">
        <f>'Cost break dow.'!V895</f>
        <v>191.8103496727677</v>
      </c>
      <c r="F59" s="382">
        <f>D59*E59</f>
        <v>45075.43217310041</v>
      </c>
    </row>
    <row r="60" spans="1:6" s="190" customFormat="1" ht="12.75">
      <c r="A60" s="177"/>
      <c r="B60" s="211"/>
      <c r="C60" s="209"/>
      <c r="D60" s="189"/>
      <c r="E60" s="382"/>
      <c r="F60" s="382"/>
    </row>
    <row r="61" spans="1:6" s="190" customFormat="1" ht="13.5" thickBot="1">
      <c r="A61" s="177"/>
      <c r="B61" s="196" t="s">
        <v>2354</v>
      </c>
      <c r="C61" s="191"/>
      <c r="D61" s="220"/>
      <c r="E61" s="302"/>
      <c r="F61" s="322">
        <f>SUM(F36:F59)</f>
        <v>276342.99375225324</v>
      </c>
    </row>
    <row r="62" spans="1:6" s="190" customFormat="1" ht="13.5" thickTop="1">
      <c r="A62" s="192"/>
      <c r="B62" s="267"/>
      <c r="C62" s="191"/>
      <c r="D62" s="220"/>
      <c r="E62" s="302"/>
      <c r="F62" s="383"/>
    </row>
    <row r="63" spans="1:6" s="179" customFormat="1" ht="14.25">
      <c r="A63" s="183">
        <v>3</v>
      </c>
      <c r="B63" s="185" t="s">
        <v>2552</v>
      </c>
      <c r="C63" s="198" t="s">
        <v>1565</v>
      </c>
      <c r="D63" s="228">
        <v>400</v>
      </c>
      <c r="E63" s="368">
        <v>150</v>
      </c>
      <c r="F63" s="382">
        <f>D63*E63</f>
        <v>60000</v>
      </c>
    </row>
    <row r="64" spans="1:6" s="179" customFormat="1" ht="12.75">
      <c r="A64" s="180"/>
      <c r="D64" s="228"/>
      <c r="E64" s="368"/>
      <c r="F64" s="368"/>
    </row>
    <row r="65" spans="1:6" s="179" customFormat="1" ht="13.5" thickBot="1">
      <c r="A65" s="180"/>
      <c r="B65" s="267" t="s">
        <v>2354</v>
      </c>
      <c r="C65" s="191"/>
      <c r="D65" s="220"/>
      <c r="E65" s="302"/>
      <c r="F65" s="322">
        <f>F63</f>
        <v>60000</v>
      </c>
    </row>
    <row r="66" spans="1:6" s="179" customFormat="1" ht="13.5" thickTop="1">
      <c r="A66" s="180"/>
      <c r="B66" s="182"/>
      <c r="D66" s="228"/>
      <c r="E66" s="368"/>
      <c r="F66" s="317"/>
    </row>
    <row r="67" spans="1:6" s="179" customFormat="1" ht="12.75">
      <c r="A67" s="180"/>
      <c r="D67" s="228"/>
      <c r="E67" s="368"/>
      <c r="F67" s="317"/>
    </row>
    <row r="68" spans="1:256" s="179" customFormat="1" ht="12.75">
      <c r="A68" s="183">
        <v>4</v>
      </c>
      <c r="B68" s="184" t="s">
        <v>2721</v>
      </c>
      <c r="C68" s="183"/>
      <c r="D68" s="372"/>
      <c r="E68" s="384"/>
      <c r="F68" s="372"/>
      <c r="G68" s="183"/>
      <c r="H68" s="184"/>
      <c r="I68" s="183"/>
      <c r="J68" s="184"/>
      <c r="K68" s="183"/>
      <c r="L68" s="184"/>
      <c r="M68" s="183"/>
      <c r="N68" s="184"/>
      <c r="O68" s="183"/>
      <c r="P68" s="184"/>
      <c r="Q68" s="183"/>
      <c r="R68" s="184"/>
      <c r="S68" s="183"/>
      <c r="T68" s="184"/>
      <c r="U68" s="183"/>
      <c r="V68" s="184"/>
      <c r="W68" s="183"/>
      <c r="X68" s="184"/>
      <c r="Y68" s="183"/>
      <c r="Z68" s="184"/>
      <c r="AA68" s="183"/>
      <c r="AB68" s="184"/>
      <c r="AC68" s="183"/>
      <c r="AD68" s="184"/>
      <c r="AE68" s="183"/>
      <c r="AF68" s="184"/>
      <c r="AG68" s="183"/>
      <c r="AH68" s="184"/>
      <c r="AI68" s="183"/>
      <c r="AJ68" s="184"/>
      <c r="AK68" s="183"/>
      <c r="AL68" s="184"/>
      <c r="AM68" s="183"/>
      <c r="AN68" s="184"/>
      <c r="AO68" s="183"/>
      <c r="AP68" s="184"/>
      <c r="AQ68" s="183"/>
      <c r="AR68" s="184"/>
      <c r="AS68" s="183"/>
      <c r="AT68" s="184"/>
      <c r="AU68" s="183"/>
      <c r="AV68" s="184"/>
      <c r="AW68" s="183"/>
      <c r="AX68" s="184"/>
      <c r="AY68" s="183"/>
      <c r="AZ68" s="184"/>
      <c r="BA68" s="183"/>
      <c r="BB68" s="184"/>
      <c r="BC68" s="183"/>
      <c r="BD68" s="184"/>
      <c r="BE68" s="183"/>
      <c r="BF68" s="184"/>
      <c r="BG68" s="183"/>
      <c r="BH68" s="184"/>
      <c r="BI68" s="183"/>
      <c r="BJ68" s="184"/>
      <c r="BK68" s="183"/>
      <c r="BL68" s="184"/>
      <c r="BM68" s="183"/>
      <c r="BN68" s="184"/>
      <c r="BO68" s="183"/>
      <c r="BP68" s="184"/>
      <c r="BQ68" s="183"/>
      <c r="BR68" s="184"/>
      <c r="BS68" s="183"/>
      <c r="BT68" s="184"/>
      <c r="BU68" s="183"/>
      <c r="BV68" s="184"/>
      <c r="BW68" s="183"/>
      <c r="BX68" s="184"/>
      <c r="BY68" s="183"/>
      <c r="BZ68" s="184"/>
      <c r="CA68" s="183"/>
      <c r="CB68" s="184"/>
      <c r="CC68" s="183"/>
      <c r="CD68" s="184"/>
      <c r="CE68" s="183"/>
      <c r="CF68" s="184"/>
      <c r="CG68" s="183"/>
      <c r="CH68" s="184"/>
      <c r="CI68" s="183"/>
      <c r="CJ68" s="184"/>
      <c r="CK68" s="183"/>
      <c r="CL68" s="184"/>
      <c r="CM68" s="183"/>
      <c r="CN68" s="184"/>
      <c r="CO68" s="183"/>
      <c r="CP68" s="184"/>
      <c r="CQ68" s="183"/>
      <c r="CR68" s="184"/>
      <c r="CS68" s="183"/>
      <c r="CT68" s="184"/>
      <c r="CU68" s="183"/>
      <c r="CV68" s="184"/>
      <c r="CW68" s="183"/>
      <c r="CX68" s="184"/>
      <c r="CY68" s="183"/>
      <c r="CZ68" s="184"/>
      <c r="DA68" s="183"/>
      <c r="DB68" s="184"/>
      <c r="DC68" s="183"/>
      <c r="DD68" s="184"/>
      <c r="DE68" s="183"/>
      <c r="DF68" s="184"/>
      <c r="DG68" s="183"/>
      <c r="DH68" s="184"/>
      <c r="DI68" s="183"/>
      <c r="DJ68" s="184"/>
      <c r="DK68" s="183"/>
      <c r="DL68" s="184"/>
      <c r="DM68" s="183"/>
      <c r="DN68" s="184"/>
      <c r="DO68" s="183"/>
      <c r="DP68" s="184"/>
      <c r="DQ68" s="183"/>
      <c r="DR68" s="184"/>
      <c r="DS68" s="183"/>
      <c r="DT68" s="184"/>
      <c r="DU68" s="183"/>
      <c r="DV68" s="184"/>
      <c r="DW68" s="183"/>
      <c r="DX68" s="184"/>
      <c r="DY68" s="183"/>
      <c r="DZ68" s="184"/>
      <c r="EA68" s="183"/>
      <c r="EB68" s="184"/>
      <c r="EC68" s="183"/>
      <c r="ED68" s="184"/>
      <c r="EE68" s="183"/>
      <c r="EF68" s="184"/>
      <c r="EG68" s="183"/>
      <c r="EH68" s="184"/>
      <c r="EI68" s="183"/>
      <c r="EJ68" s="184"/>
      <c r="EK68" s="183"/>
      <c r="EL68" s="184"/>
      <c r="EM68" s="183"/>
      <c r="EN68" s="184"/>
      <c r="EO68" s="183"/>
      <c r="EP68" s="184"/>
      <c r="EQ68" s="183"/>
      <c r="ER68" s="184"/>
      <c r="ES68" s="183"/>
      <c r="ET68" s="184"/>
      <c r="EU68" s="183"/>
      <c r="EV68" s="184"/>
      <c r="EW68" s="183"/>
      <c r="EX68" s="184"/>
      <c r="EY68" s="183"/>
      <c r="EZ68" s="184"/>
      <c r="FA68" s="183"/>
      <c r="FB68" s="184"/>
      <c r="FC68" s="183"/>
      <c r="FD68" s="184"/>
      <c r="FE68" s="183"/>
      <c r="FF68" s="184"/>
      <c r="FG68" s="183"/>
      <c r="FH68" s="184"/>
      <c r="FI68" s="183"/>
      <c r="FJ68" s="184"/>
      <c r="FK68" s="183"/>
      <c r="FL68" s="184"/>
      <c r="FM68" s="183"/>
      <c r="FN68" s="184"/>
      <c r="FO68" s="183"/>
      <c r="FP68" s="184"/>
      <c r="FQ68" s="183"/>
      <c r="FR68" s="184"/>
      <c r="FS68" s="183"/>
      <c r="FT68" s="184"/>
      <c r="FU68" s="183"/>
      <c r="FV68" s="184"/>
      <c r="FW68" s="183"/>
      <c r="FX68" s="184"/>
      <c r="FY68" s="183"/>
      <c r="FZ68" s="184"/>
      <c r="GA68" s="183"/>
      <c r="GB68" s="184"/>
      <c r="GC68" s="183"/>
      <c r="GD68" s="184"/>
      <c r="GE68" s="183"/>
      <c r="GF68" s="184"/>
      <c r="GG68" s="183"/>
      <c r="GH68" s="184"/>
      <c r="GI68" s="183"/>
      <c r="GJ68" s="184"/>
      <c r="GK68" s="183"/>
      <c r="GL68" s="184"/>
      <c r="GM68" s="183"/>
      <c r="GN68" s="184"/>
      <c r="GO68" s="183"/>
      <c r="GP68" s="184"/>
      <c r="GQ68" s="183"/>
      <c r="GR68" s="184"/>
      <c r="GS68" s="183"/>
      <c r="GT68" s="184"/>
      <c r="GU68" s="183"/>
      <c r="GV68" s="184"/>
      <c r="GW68" s="183"/>
      <c r="GX68" s="184"/>
      <c r="GY68" s="183"/>
      <c r="GZ68" s="184"/>
      <c r="HA68" s="183"/>
      <c r="HB68" s="184"/>
      <c r="HC68" s="183"/>
      <c r="HD68" s="184"/>
      <c r="HE68" s="183"/>
      <c r="HF68" s="184"/>
      <c r="HG68" s="183"/>
      <c r="HH68" s="184"/>
      <c r="HI68" s="183"/>
      <c r="HJ68" s="184"/>
      <c r="HK68" s="183"/>
      <c r="HL68" s="184"/>
      <c r="HM68" s="183"/>
      <c r="HN68" s="184"/>
      <c r="HO68" s="183"/>
      <c r="HP68" s="184"/>
      <c r="HQ68" s="183"/>
      <c r="HR68" s="184"/>
      <c r="HS68" s="183"/>
      <c r="HT68" s="184"/>
      <c r="HU68" s="183"/>
      <c r="HV68" s="184"/>
      <c r="HW68" s="183"/>
      <c r="HX68" s="184"/>
      <c r="HY68" s="183"/>
      <c r="HZ68" s="184"/>
      <c r="IA68" s="183"/>
      <c r="IB68" s="184"/>
      <c r="IC68" s="183"/>
      <c r="ID68" s="184"/>
      <c r="IE68" s="183"/>
      <c r="IF68" s="184"/>
      <c r="IG68" s="183"/>
      <c r="IH68" s="184"/>
      <c r="II68" s="183"/>
      <c r="IJ68" s="184"/>
      <c r="IK68" s="183"/>
      <c r="IL68" s="184"/>
      <c r="IM68" s="183"/>
      <c r="IN68" s="184"/>
      <c r="IO68" s="183"/>
      <c r="IP68" s="184"/>
      <c r="IQ68" s="183"/>
      <c r="IR68" s="184"/>
      <c r="IS68" s="183"/>
      <c r="IT68" s="184"/>
      <c r="IU68" s="183"/>
      <c r="IV68" s="184"/>
    </row>
    <row r="69" spans="1:256" s="179" customFormat="1" ht="12.75">
      <c r="A69" s="183"/>
      <c r="B69" s="184"/>
      <c r="C69" s="183"/>
      <c r="D69" s="372"/>
      <c r="E69" s="384"/>
      <c r="F69" s="372"/>
      <c r="G69" s="183"/>
      <c r="H69" s="184"/>
      <c r="I69" s="183"/>
      <c r="J69" s="184"/>
      <c r="K69" s="183"/>
      <c r="L69" s="184"/>
      <c r="M69" s="183"/>
      <c r="N69" s="184"/>
      <c r="O69" s="183"/>
      <c r="P69" s="184"/>
      <c r="Q69" s="183"/>
      <c r="R69" s="184"/>
      <c r="S69" s="183"/>
      <c r="T69" s="184"/>
      <c r="U69" s="183"/>
      <c r="V69" s="184"/>
      <c r="W69" s="183"/>
      <c r="X69" s="184"/>
      <c r="Y69" s="183"/>
      <c r="Z69" s="184"/>
      <c r="AA69" s="183"/>
      <c r="AB69" s="184"/>
      <c r="AC69" s="183"/>
      <c r="AD69" s="184"/>
      <c r="AE69" s="183"/>
      <c r="AF69" s="184"/>
      <c r="AG69" s="183"/>
      <c r="AH69" s="184"/>
      <c r="AI69" s="183"/>
      <c r="AJ69" s="184"/>
      <c r="AK69" s="183"/>
      <c r="AL69" s="184"/>
      <c r="AM69" s="183"/>
      <c r="AN69" s="184"/>
      <c r="AO69" s="183"/>
      <c r="AP69" s="184"/>
      <c r="AQ69" s="183"/>
      <c r="AR69" s="184"/>
      <c r="AS69" s="183"/>
      <c r="AT69" s="184"/>
      <c r="AU69" s="183"/>
      <c r="AV69" s="184"/>
      <c r="AW69" s="183"/>
      <c r="AX69" s="184"/>
      <c r="AY69" s="183"/>
      <c r="AZ69" s="184"/>
      <c r="BA69" s="183"/>
      <c r="BB69" s="184"/>
      <c r="BC69" s="183"/>
      <c r="BD69" s="184"/>
      <c r="BE69" s="183"/>
      <c r="BF69" s="184"/>
      <c r="BG69" s="183"/>
      <c r="BH69" s="184"/>
      <c r="BI69" s="183"/>
      <c r="BJ69" s="184"/>
      <c r="BK69" s="183"/>
      <c r="BL69" s="184"/>
      <c r="BM69" s="183"/>
      <c r="BN69" s="184"/>
      <c r="BO69" s="183"/>
      <c r="BP69" s="184"/>
      <c r="BQ69" s="183"/>
      <c r="BR69" s="184"/>
      <c r="BS69" s="183"/>
      <c r="BT69" s="184"/>
      <c r="BU69" s="183"/>
      <c r="BV69" s="184"/>
      <c r="BW69" s="183"/>
      <c r="BX69" s="184"/>
      <c r="BY69" s="183"/>
      <c r="BZ69" s="184"/>
      <c r="CA69" s="183"/>
      <c r="CB69" s="184"/>
      <c r="CC69" s="183"/>
      <c r="CD69" s="184"/>
      <c r="CE69" s="183"/>
      <c r="CF69" s="184"/>
      <c r="CG69" s="183"/>
      <c r="CH69" s="184"/>
      <c r="CI69" s="183"/>
      <c r="CJ69" s="184"/>
      <c r="CK69" s="183"/>
      <c r="CL69" s="184"/>
      <c r="CM69" s="183"/>
      <c r="CN69" s="184"/>
      <c r="CO69" s="183"/>
      <c r="CP69" s="184"/>
      <c r="CQ69" s="183"/>
      <c r="CR69" s="184"/>
      <c r="CS69" s="183"/>
      <c r="CT69" s="184"/>
      <c r="CU69" s="183"/>
      <c r="CV69" s="184"/>
      <c r="CW69" s="183"/>
      <c r="CX69" s="184"/>
      <c r="CY69" s="183"/>
      <c r="CZ69" s="184"/>
      <c r="DA69" s="183"/>
      <c r="DB69" s="184"/>
      <c r="DC69" s="183"/>
      <c r="DD69" s="184"/>
      <c r="DE69" s="183"/>
      <c r="DF69" s="184"/>
      <c r="DG69" s="183"/>
      <c r="DH69" s="184"/>
      <c r="DI69" s="183"/>
      <c r="DJ69" s="184"/>
      <c r="DK69" s="183"/>
      <c r="DL69" s="184"/>
      <c r="DM69" s="183"/>
      <c r="DN69" s="184"/>
      <c r="DO69" s="183"/>
      <c r="DP69" s="184"/>
      <c r="DQ69" s="183"/>
      <c r="DR69" s="184"/>
      <c r="DS69" s="183"/>
      <c r="DT69" s="184"/>
      <c r="DU69" s="183"/>
      <c r="DV69" s="184"/>
      <c r="DW69" s="183"/>
      <c r="DX69" s="184"/>
      <c r="DY69" s="183"/>
      <c r="DZ69" s="184"/>
      <c r="EA69" s="183"/>
      <c r="EB69" s="184"/>
      <c r="EC69" s="183"/>
      <c r="ED69" s="184"/>
      <c r="EE69" s="183"/>
      <c r="EF69" s="184"/>
      <c r="EG69" s="183"/>
      <c r="EH69" s="184"/>
      <c r="EI69" s="183"/>
      <c r="EJ69" s="184"/>
      <c r="EK69" s="183"/>
      <c r="EL69" s="184"/>
      <c r="EM69" s="183"/>
      <c r="EN69" s="184"/>
      <c r="EO69" s="183"/>
      <c r="EP69" s="184"/>
      <c r="EQ69" s="183"/>
      <c r="ER69" s="184"/>
      <c r="ES69" s="183"/>
      <c r="ET69" s="184"/>
      <c r="EU69" s="183"/>
      <c r="EV69" s="184"/>
      <c r="EW69" s="183"/>
      <c r="EX69" s="184"/>
      <c r="EY69" s="183"/>
      <c r="EZ69" s="184"/>
      <c r="FA69" s="183"/>
      <c r="FB69" s="184"/>
      <c r="FC69" s="183"/>
      <c r="FD69" s="184"/>
      <c r="FE69" s="183"/>
      <c r="FF69" s="184"/>
      <c r="FG69" s="183"/>
      <c r="FH69" s="184"/>
      <c r="FI69" s="183"/>
      <c r="FJ69" s="184"/>
      <c r="FK69" s="183"/>
      <c r="FL69" s="184"/>
      <c r="FM69" s="183"/>
      <c r="FN69" s="184"/>
      <c r="FO69" s="183"/>
      <c r="FP69" s="184"/>
      <c r="FQ69" s="183"/>
      <c r="FR69" s="184"/>
      <c r="FS69" s="183"/>
      <c r="FT69" s="184"/>
      <c r="FU69" s="183"/>
      <c r="FV69" s="184"/>
      <c r="FW69" s="183"/>
      <c r="FX69" s="184"/>
      <c r="FY69" s="183"/>
      <c r="FZ69" s="184"/>
      <c r="GA69" s="183"/>
      <c r="GB69" s="184"/>
      <c r="GC69" s="183"/>
      <c r="GD69" s="184"/>
      <c r="GE69" s="183"/>
      <c r="GF69" s="184"/>
      <c r="GG69" s="183"/>
      <c r="GH69" s="184"/>
      <c r="GI69" s="183"/>
      <c r="GJ69" s="184"/>
      <c r="GK69" s="183"/>
      <c r="GL69" s="184"/>
      <c r="GM69" s="183"/>
      <c r="GN69" s="184"/>
      <c r="GO69" s="183"/>
      <c r="GP69" s="184"/>
      <c r="GQ69" s="183"/>
      <c r="GR69" s="184"/>
      <c r="GS69" s="183"/>
      <c r="GT69" s="184"/>
      <c r="GU69" s="183"/>
      <c r="GV69" s="184"/>
      <c r="GW69" s="183"/>
      <c r="GX69" s="184"/>
      <c r="GY69" s="183"/>
      <c r="GZ69" s="184"/>
      <c r="HA69" s="183"/>
      <c r="HB69" s="184"/>
      <c r="HC69" s="183"/>
      <c r="HD69" s="184"/>
      <c r="HE69" s="183"/>
      <c r="HF69" s="184"/>
      <c r="HG69" s="183"/>
      <c r="HH69" s="184"/>
      <c r="HI69" s="183"/>
      <c r="HJ69" s="184"/>
      <c r="HK69" s="183"/>
      <c r="HL69" s="184"/>
      <c r="HM69" s="183"/>
      <c r="HN69" s="184"/>
      <c r="HO69" s="183"/>
      <c r="HP69" s="184"/>
      <c r="HQ69" s="183"/>
      <c r="HR69" s="184"/>
      <c r="HS69" s="183"/>
      <c r="HT69" s="184"/>
      <c r="HU69" s="183"/>
      <c r="HV69" s="184"/>
      <c r="HW69" s="183"/>
      <c r="HX69" s="184"/>
      <c r="HY69" s="183"/>
      <c r="HZ69" s="184"/>
      <c r="IA69" s="183"/>
      <c r="IB69" s="184"/>
      <c r="IC69" s="183"/>
      <c r="ID69" s="184"/>
      <c r="IE69" s="183"/>
      <c r="IF69" s="184"/>
      <c r="IG69" s="183"/>
      <c r="IH69" s="184"/>
      <c r="II69" s="183"/>
      <c r="IJ69" s="184"/>
      <c r="IK69" s="183"/>
      <c r="IL69" s="184"/>
      <c r="IM69" s="183"/>
      <c r="IN69" s="184"/>
      <c r="IO69" s="183"/>
      <c r="IP69" s="184"/>
      <c r="IQ69" s="183"/>
      <c r="IR69" s="184"/>
      <c r="IS69" s="183"/>
      <c r="IT69" s="184"/>
      <c r="IU69" s="183"/>
      <c r="IV69" s="184"/>
    </row>
    <row r="70" spans="1:6" s="179" customFormat="1" ht="12.75">
      <c r="A70" s="166"/>
      <c r="B70" s="164" t="s">
        <v>1585</v>
      </c>
      <c r="C70" s="19"/>
      <c r="D70" s="298"/>
      <c r="E70" s="385"/>
      <c r="F70" s="380"/>
    </row>
    <row r="71" spans="1:6" s="179" customFormat="1" ht="12.75">
      <c r="A71" s="166"/>
      <c r="B71" s="18"/>
      <c r="C71" s="19"/>
      <c r="D71" s="298"/>
      <c r="E71" s="385"/>
      <c r="F71" s="380"/>
    </row>
    <row r="72" spans="1:6" s="179" customFormat="1" ht="12.75">
      <c r="A72" s="167">
        <v>1</v>
      </c>
      <c r="B72" s="13" t="s">
        <v>3151</v>
      </c>
      <c r="C72" s="19"/>
      <c r="D72" s="373"/>
      <c r="E72" s="386"/>
      <c r="F72" s="387"/>
    </row>
    <row r="73" spans="1:6" s="179" customFormat="1" ht="12.75">
      <c r="A73" s="166"/>
      <c r="B73" s="18"/>
      <c r="C73" s="19"/>
      <c r="D73" s="298"/>
      <c r="E73" s="385"/>
      <c r="F73" s="380"/>
    </row>
    <row r="74" spans="1:6" s="179" customFormat="1" ht="25.5">
      <c r="A74" s="166" t="s">
        <v>2152</v>
      </c>
      <c r="B74" s="49" t="s">
        <v>1586</v>
      </c>
      <c r="C74" s="19" t="s">
        <v>1565</v>
      </c>
      <c r="D74" s="298">
        <v>9</v>
      </c>
      <c r="E74" s="302">
        <f>'Cost break dow.'!V11</f>
        <v>0</v>
      </c>
      <c r="F74" s="380">
        <f>D74*E74</f>
        <v>0</v>
      </c>
    </row>
    <row r="75" spans="1:6" s="179" customFormat="1" ht="12.75">
      <c r="A75" s="166"/>
      <c r="B75" s="49"/>
      <c r="C75" s="19"/>
      <c r="D75" s="298"/>
      <c r="E75" s="302"/>
      <c r="F75" s="380"/>
    </row>
    <row r="76" spans="1:6" s="179" customFormat="1" ht="25.5">
      <c r="A76" s="166" t="s">
        <v>1587</v>
      </c>
      <c r="B76" s="49" t="s">
        <v>1588</v>
      </c>
      <c r="C76" s="19" t="s">
        <v>1567</v>
      </c>
      <c r="D76" s="298">
        <v>2</v>
      </c>
      <c r="E76" s="302">
        <f>'Cost break dow.'!V18</f>
        <v>30.954561738296125</v>
      </c>
      <c r="F76" s="380">
        <f>D76*E76</f>
        <v>61.90912347659225</v>
      </c>
    </row>
    <row r="77" spans="1:6" s="179" customFormat="1" ht="12.75">
      <c r="A77" s="166"/>
      <c r="B77" s="18"/>
      <c r="C77" s="19"/>
      <c r="D77" s="298"/>
      <c r="E77" s="302"/>
      <c r="F77" s="380"/>
    </row>
    <row r="78" spans="1:6" s="89" customFormat="1" ht="14.25">
      <c r="A78" s="166" t="s">
        <v>1589</v>
      </c>
      <c r="B78" s="49" t="s">
        <v>1590</v>
      </c>
      <c r="C78" s="19" t="s">
        <v>1567</v>
      </c>
      <c r="D78" s="298">
        <v>6</v>
      </c>
      <c r="E78" s="302">
        <f>'Cost break dow.'!V23</f>
        <v>77.26276732569973</v>
      </c>
      <c r="F78" s="380">
        <f>D78*E78</f>
        <v>463.5766039541984</v>
      </c>
    </row>
    <row r="79" spans="1:6" s="89" customFormat="1" ht="12.75">
      <c r="A79" s="166"/>
      <c r="B79" s="49"/>
      <c r="C79" s="19"/>
      <c r="D79" s="298"/>
      <c r="E79" s="302"/>
      <c r="F79" s="380"/>
    </row>
    <row r="80" spans="1:6" s="89" customFormat="1" ht="38.25">
      <c r="A80" s="166" t="s">
        <v>1591</v>
      </c>
      <c r="B80" s="71" t="s">
        <v>2984</v>
      </c>
      <c r="C80" s="19" t="s">
        <v>1567</v>
      </c>
      <c r="D80" s="298">
        <v>8</v>
      </c>
      <c r="E80" s="302">
        <f>'Cost break dow.'!V43</f>
        <v>103.0018774019898</v>
      </c>
      <c r="F80" s="380">
        <f>D80*E80</f>
        <v>824.0150192159184</v>
      </c>
    </row>
    <row r="81" spans="1:6" s="89" customFormat="1" ht="12.75">
      <c r="A81" s="166"/>
      <c r="B81" s="49"/>
      <c r="C81" s="19"/>
      <c r="D81" s="298"/>
      <c r="E81" s="302"/>
      <c r="F81" s="380"/>
    </row>
    <row r="82" spans="1:6" s="89" customFormat="1" ht="14.25">
      <c r="A82" s="166" t="s">
        <v>2985</v>
      </c>
      <c r="B82" s="49" t="s">
        <v>2986</v>
      </c>
      <c r="C82" s="19" t="s">
        <v>1567</v>
      </c>
      <c r="D82" s="298">
        <v>10</v>
      </c>
      <c r="E82" s="302">
        <f>'Cost break dow.'!V54</f>
        <v>97.80008633385177</v>
      </c>
      <c r="F82" s="380">
        <f>D82*E82</f>
        <v>978.0008633385177</v>
      </c>
    </row>
    <row r="83" spans="1:6" s="89" customFormat="1" ht="12.75">
      <c r="A83" s="166"/>
      <c r="B83" s="49"/>
      <c r="C83" s="19"/>
      <c r="D83" s="298"/>
      <c r="E83" s="302"/>
      <c r="F83" s="380"/>
    </row>
    <row r="84" spans="1:6" s="89" customFormat="1" ht="25.5">
      <c r="A84" s="166" t="s">
        <v>2987</v>
      </c>
      <c r="B84" s="49" t="s">
        <v>2988</v>
      </c>
      <c r="C84" s="19" t="s">
        <v>1565</v>
      </c>
      <c r="D84" s="298">
        <v>9</v>
      </c>
      <c r="E84" s="302">
        <f>'Cost break dow.'!V59</f>
        <v>128.5101460860932</v>
      </c>
      <c r="F84" s="380">
        <f>D84*E84</f>
        <v>1156.5913147748388</v>
      </c>
    </row>
    <row r="85" spans="1:6" s="89" customFormat="1" ht="12.75">
      <c r="A85" s="166"/>
      <c r="B85" s="18"/>
      <c r="C85" s="19"/>
      <c r="D85" s="298"/>
      <c r="E85" s="302"/>
      <c r="F85" s="380"/>
    </row>
    <row r="86" spans="1:6" s="89" customFormat="1" ht="13.5" thickBot="1">
      <c r="A86" s="166"/>
      <c r="B86" s="51" t="s">
        <v>1066</v>
      </c>
      <c r="C86" s="19"/>
      <c r="D86" s="298"/>
      <c r="E86" s="302"/>
      <c r="F86" s="322">
        <f>F74+F76+F78+F80+F82+F84</f>
        <v>3484.0929247600657</v>
      </c>
    </row>
    <row r="87" spans="1:6" s="89" customFormat="1" ht="13.5" thickTop="1">
      <c r="A87" s="166"/>
      <c r="B87" s="18"/>
      <c r="C87" s="19"/>
      <c r="D87" s="298"/>
      <c r="E87" s="302"/>
      <c r="F87" s="380"/>
    </row>
    <row r="88" spans="1:6" s="89" customFormat="1" ht="12.75">
      <c r="A88" s="168" t="s">
        <v>44</v>
      </c>
      <c r="B88" s="13" t="s">
        <v>1583</v>
      </c>
      <c r="C88" s="19"/>
      <c r="D88" s="298"/>
      <c r="E88" s="302"/>
      <c r="F88" s="380"/>
    </row>
    <row r="89" spans="1:6" s="89" customFormat="1" ht="12.75">
      <c r="A89" s="166"/>
      <c r="B89" s="18"/>
      <c r="C89" s="19"/>
      <c r="D89" s="298"/>
      <c r="E89" s="302"/>
      <c r="F89" s="380"/>
    </row>
    <row r="90" spans="1:6" s="89" customFormat="1" ht="12.75">
      <c r="A90" s="166"/>
      <c r="B90" s="49" t="s">
        <v>2989</v>
      </c>
      <c r="C90" s="19"/>
      <c r="D90" s="298"/>
      <c r="E90" s="302"/>
      <c r="F90" s="380"/>
    </row>
    <row r="91" spans="1:6" s="89" customFormat="1" ht="12.75">
      <c r="A91" s="166"/>
      <c r="B91" s="18"/>
      <c r="C91" s="19"/>
      <c r="D91" s="298"/>
      <c r="E91" s="302"/>
      <c r="F91" s="380"/>
    </row>
    <row r="92" spans="1:6" s="89" customFormat="1" ht="14.25">
      <c r="A92" s="166" t="s">
        <v>2990</v>
      </c>
      <c r="B92" s="18" t="s">
        <v>2991</v>
      </c>
      <c r="C92" s="19" t="s">
        <v>1565</v>
      </c>
      <c r="D92" s="298">
        <v>6</v>
      </c>
      <c r="E92" s="302">
        <f>'Trans &amp;gener. House'!E56</f>
        <v>71.15213622038112</v>
      </c>
      <c r="F92" s="403">
        <f>D92*E92</f>
        <v>426.91281732228674</v>
      </c>
    </row>
    <row r="93" spans="1:6" s="89" customFormat="1" ht="12.75">
      <c r="A93" s="166"/>
      <c r="B93" s="18"/>
      <c r="C93" s="19"/>
      <c r="D93" s="298"/>
      <c r="E93" s="302"/>
      <c r="F93" s="403"/>
    </row>
    <row r="94" spans="1:6" s="89" customFormat="1" ht="38.25">
      <c r="A94" s="166"/>
      <c r="B94" s="27" t="s">
        <v>2992</v>
      </c>
      <c r="C94" s="19"/>
      <c r="D94" s="298"/>
      <c r="E94" s="302"/>
      <c r="F94" s="403"/>
    </row>
    <row r="95" spans="1:6" s="89" customFormat="1" ht="12.75">
      <c r="A95" s="166"/>
      <c r="B95" s="18"/>
      <c r="C95" s="19"/>
      <c r="D95" s="298"/>
      <c r="E95" s="302"/>
      <c r="F95" s="403"/>
    </row>
    <row r="96" spans="1:6" s="89" customFormat="1" ht="14.25">
      <c r="A96" s="166" t="s">
        <v>2993</v>
      </c>
      <c r="B96" s="18" t="s">
        <v>1671</v>
      </c>
      <c r="C96" s="19" t="s">
        <v>1567</v>
      </c>
      <c r="D96" s="298">
        <v>1.5</v>
      </c>
      <c r="E96" s="302">
        <f>'Cost break dow.'!V102</f>
        <v>2350.4052110607972</v>
      </c>
      <c r="F96" s="403">
        <f>D96*E96</f>
        <v>3525.607816591196</v>
      </c>
    </row>
    <row r="97" spans="1:6" s="89" customFormat="1" ht="12.75">
      <c r="A97" s="166"/>
      <c r="B97" s="18"/>
      <c r="C97" s="19"/>
      <c r="D97" s="298"/>
      <c r="E97" s="302"/>
      <c r="F97" s="403"/>
    </row>
    <row r="98" spans="1:6" s="89" customFormat="1" ht="14.25">
      <c r="A98" s="166" t="s">
        <v>2994</v>
      </c>
      <c r="B98" s="18" t="s">
        <v>2995</v>
      </c>
      <c r="C98" s="19" t="s">
        <v>1565</v>
      </c>
      <c r="D98" s="298">
        <v>9</v>
      </c>
      <c r="E98" s="302">
        <f>0.1*'Cost break dow.'!V102</f>
        <v>235.04052110607972</v>
      </c>
      <c r="F98" s="403">
        <f>D98*E98</f>
        <v>2115.3646899547175</v>
      </c>
    </row>
    <row r="99" spans="1:6" s="89" customFormat="1" ht="12.75">
      <c r="A99" s="166"/>
      <c r="B99" s="18"/>
      <c r="C99" s="19"/>
      <c r="D99" s="298"/>
      <c r="E99" s="302"/>
      <c r="F99" s="403"/>
    </row>
    <row r="100" spans="1:6" s="89" customFormat="1" ht="25.5">
      <c r="A100" s="166"/>
      <c r="B100" s="49" t="s">
        <v>238</v>
      </c>
      <c r="C100" s="19"/>
      <c r="D100" s="298"/>
      <c r="E100" s="302"/>
      <c r="F100" s="403"/>
    </row>
    <row r="101" spans="1:6" s="89" customFormat="1" ht="13.5" customHeight="1">
      <c r="A101" s="166"/>
      <c r="B101" s="18"/>
      <c r="C101" s="19"/>
      <c r="D101" s="298"/>
      <c r="E101" s="302"/>
      <c r="F101" s="403"/>
    </row>
    <row r="102" spans="1:6" s="89" customFormat="1" ht="14.25">
      <c r="A102" s="166" t="s">
        <v>2996</v>
      </c>
      <c r="B102" s="18" t="s">
        <v>2997</v>
      </c>
      <c r="C102" s="19" t="s">
        <v>1565</v>
      </c>
      <c r="D102" s="298">
        <v>10</v>
      </c>
      <c r="E102" s="302">
        <f>'Cost break dow.'!V118</f>
        <v>290.32734629873335</v>
      </c>
      <c r="F102" s="403">
        <f>D102*E102</f>
        <v>2903.2734629873335</v>
      </c>
    </row>
    <row r="103" spans="1:6" s="89" customFormat="1" ht="12.75">
      <c r="A103" s="166"/>
      <c r="B103" s="18"/>
      <c r="C103" s="19"/>
      <c r="D103" s="298"/>
      <c r="E103" s="302"/>
      <c r="F103" s="403"/>
    </row>
    <row r="104" spans="1:6" s="89" customFormat="1" ht="38.25">
      <c r="A104" s="166"/>
      <c r="B104" s="49" t="s">
        <v>1527</v>
      </c>
      <c r="C104" s="19"/>
      <c r="D104" s="298"/>
      <c r="E104" s="302"/>
      <c r="F104" s="403"/>
    </row>
    <row r="105" spans="1:6" s="89" customFormat="1" ht="12.75">
      <c r="A105" s="166"/>
      <c r="B105" s="18"/>
      <c r="C105" s="19"/>
      <c r="D105" s="298"/>
      <c r="E105" s="302"/>
      <c r="F105" s="403"/>
    </row>
    <row r="106" spans="1:6" s="89" customFormat="1" ht="12.75">
      <c r="A106" s="166" t="s">
        <v>1528</v>
      </c>
      <c r="B106" s="18" t="s">
        <v>1529</v>
      </c>
      <c r="C106" s="19" t="s">
        <v>86</v>
      </c>
      <c r="D106" s="298">
        <v>60</v>
      </c>
      <c r="E106" s="302">
        <f>'Cost break dow.'!V125</f>
        <v>28.227542033120493</v>
      </c>
      <c r="F106" s="403">
        <f>D106*E106</f>
        <v>1693.6525219872296</v>
      </c>
    </row>
    <row r="107" spans="1:6" s="89" customFormat="1" ht="12.75">
      <c r="A107" s="166"/>
      <c r="B107" s="18"/>
      <c r="C107" s="19"/>
      <c r="D107" s="298"/>
      <c r="E107" s="302"/>
      <c r="F107" s="403"/>
    </row>
    <row r="108" spans="1:6" s="89" customFormat="1" ht="12.75">
      <c r="A108" s="166" t="s">
        <v>1530</v>
      </c>
      <c r="B108" s="18" t="s">
        <v>1531</v>
      </c>
      <c r="C108" s="19" t="s">
        <v>86</v>
      </c>
      <c r="D108" s="298">
        <v>80</v>
      </c>
      <c r="E108" s="302">
        <f>E106</f>
        <v>28.227542033120493</v>
      </c>
      <c r="F108" s="403">
        <f>D108*E108</f>
        <v>2258.2033626496395</v>
      </c>
    </row>
    <row r="109" spans="1:6" s="89" customFormat="1" ht="12.75">
      <c r="A109" s="166"/>
      <c r="B109" s="18"/>
      <c r="C109" s="19"/>
      <c r="D109" s="298"/>
      <c r="E109" s="302"/>
      <c r="F109" s="380"/>
    </row>
    <row r="110" spans="1:6" s="89" customFormat="1" ht="12.75">
      <c r="A110" s="166"/>
      <c r="B110" s="18"/>
      <c r="C110" s="19"/>
      <c r="D110" s="298"/>
      <c r="E110" s="302"/>
      <c r="F110" s="380"/>
    </row>
    <row r="111" spans="1:6" s="89" customFormat="1" ht="13.5" thickBot="1">
      <c r="A111" s="166"/>
      <c r="B111" s="51" t="s">
        <v>1066</v>
      </c>
      <c r="C111" s="19"/>
      <c r="D111" s="298"/>
      <c r="E111" s="302"/>
      <c r="F111" s="322">
        <f>F92+F96+F98+F102+F106+F108</f>
        <v>12923.014671492403</v>
      </c>
    </row>
    <row r="112" spans="1:6" s="89" customFormat="1" ht="13.5" thickTop="1">
      <c r="A112" s="166"/>
      <c r="B112" s="18"/>
      <c r="C112" s="19"/>
      <c r="D112" s="298"/>
      <c r="E112" s="302"/>
      <c r="F112" s="380"/>
    </row>
    <row r="113" spans="1:6" s="89" customFormat="1" ht="12.75">
      <c r="A113" s="168" t="s">
        <v>1533</v>
      </c>
      <c r="B113" s="13" t="s">
        <v>1532</v>
      </c>
      <c r="C113" s="19"/>
      <c r="D113" s="298"/>
      <c r="E113" s="302"/>
      <c r="F113" s="380"/>
    </row>
    <row r="114" spans="2:6" s="89" customFormat="1" ht="12.75">
      <c r="B114" s="18"/>
      <c r="C114" s="19"/>
      <c r="D114" s="298"/>
      <c r="E114" s="302"/>
      <c r="F114" s="380"/>
    </row>
    <row r="115" spans="1:6" s="89" customFormat="1" ht="25.5">
      <c r="A115" s="166" t="s">
        <v>75</v>
      </c>
      <c r="B115" s="49" t="s">
        <v>74</v>
      </c>
      <c r="C115" s="19" t="s">
        <v>1567</v>
      </c>
      <c r="D115" s="298">
        <v>6</v>
      </c>
      <c r="E115" s="302">
        <f>0.8*'Cost break dow.'!V136</f>
        <v>1126.9447055275937</v>
      </c>
      <c r="F115" s="380">
        <f>D115*E115</f>
        <v>6761.668233165562</v>
      </c>
    </row>
    <row r="116" spans="2:6" s="89" customFormat="1" ht="12.75">
      <c r="B116" s="49"/>
      <c r="C116" s="19"/>
      <c r="D116" s="298"/>
      <c r="E116" s="302"/>
      <c r="F116" s="380"/>
    </row>
    <row r="117" spans="1:6" s="89" customFormat="1" ht="13.5" thickBot="1">
      <c r="A117" s="166"/>
      <c r="B117" s="51" t="s">
        <v>1066</v>
      </c>
      <c r="C117" s="19"/>
      <c r="D117" s="298"/>
      <c r="E117" s="302"/>
      <c r="F117" s="322">
        <f>F115</f>
        <v>6761.668233165562</v>
      </c>
    </row>
    <row r="118" spans="1:6" s="89" customFormat="1" ht="13.5" thickTop="1">
      <c r="A118" s="166"/>
      <c r="B118" s="18"/>
      <c r="C118" s="63"/>
      <c r="D118" s="340"/>
      <c r="E118" s="302"/>
      <c r="F118" s="319"/>
    </row>
    <row r="119" spans="1:6" s="89" customFormat="1" ht="12.75">
      <c r="A119" s="168" t="s">
        <v>3157</v>
      </c>
      <c r="B119" s="164" t="s">
        <v>1584</v>
      </c>
      <c r="C119" s="19"/>
      <c r="D119" s="298"/>
      <c r="E119" s="302"/>
      <c r="F119" s="380"/>
    </row>
    <row r="120" spans="1:6" s="89" customFormat="1" ht="12.75">
      <c r="A120" s="168"/>
      <c r="B120" s="164"/>
      <c r="C120" s="19"/>
      <c r="D120" s="298"/>
      <c r="E120" s="302"/>
      <c r="F120" s="380"/>
    </row>
    <row r="121" spans="1:6" s="89" customFormat="1" ht="12.75">
      <c r="A121" s="168" t="s">
        <v>76</v>
      </c>
      <c r="B121" s="13" t="s">
        <v>1583</v>
      </c>
      <c r="C121" s="19"/>
      <c r="D121" s="298"/>
      <c r="E121" s="302"/>
      <c r="F121" s="380"/>
    </row>
    <row r="122" spans="1:6" s="89" customFormat="1" ht="12.75">
      <c r="A122" s="166"/>
      <c r="B122" s="18"/>
      <c r="C122" s="19"/>
      <c r="D122" s="298"/>
      <c r="E122" s="302"/>
      <c r="F122" s="380"/>
    </row>
    <row r="123" spans="1:6" s="89" customFormat="1" ht="38.25">
      <c r="A123" s="166" t="s">
        <v>2152</v>
      </c>
      <c r="B123" s="27" t="s">
        <v>2992</v>
      </c>
      <c r="C123" s="19"/>
      <c r="D123" s="298"/>
      <c r="E123" s="302"/>
      <c r="F123" s="380"/>
    </row>
    <row r="124" spans="1:6" s="89" customFormat="1" ht="12.75">
      <c r="A124" s="166"/>
      <c r="B124" s="18"/>
      <c r="C124" s="19"/>
      <c r="D124" s="298"/>
      <c r="E124" s="302"/>
      <c r="F124" s="380"/>
    </row>
    <row r="125" spans="1:6" s="89" customFormat="1" ht="14.25">
      <c r="A125" s="166" t="s">
        <v>665</v>
      </c>
      <c r="B125" s="27" t="s">
        <v>239</v>
      </c>
      <c r="C125" s="19" t="s">
        <v>1567</v>
      </c>
      <c r="D125" s="298">
        <v>10.5</v>
      </c>
      <c r="E125" s="302">
        <f>'Cost break dow.'!V102</f>
        <v>2350.4052110607972</v>
      </c>
      <c r="F125" s="380">
        <f>D125*E125</f>
        <v>24679.25471613837</v>
      </c>
    </row>
    <row r="126" spans="1:6" s="89" customFormat="1" ht="12.75">
      <c r="A126" s="166"/>
      <c r="B126" s="27"/>
      <c r="C126" s="19"/>
      <c r="D126" s="298"/>
      <c r="E126" s="302"/>
      <c r="F126" s="380"/>
    </row>
    <row r="127" spans="1:6" s="89" customFormat="1" ht="14.25">
      <c r="A127" s="166" t="s">
        <v>666</v>
      </c>
      <c r="B127" s="27" t="s">
        <v>240</v>
      </c>
      <c r="C127" s="19" t="s">
        <v>1565</v>
      </c>
      <c r="D127" s="298">
        <v>10</v>
      </c>
      <c r="E127" s="302">
        <f>0.1*'Cost break dow.'!V102</f>
        <v>235.04052110607972</v>
      </c>
      <c r="F127" s="380">
        <f>D127*E127</f>
        <v>2350.4052110607972</v>
      </c>
    </row>
    <row r="128" spans="1:6" s="89" customFormat="1" ht="12.75">
      <c r="A128" s="166"/>
      <c r="B128" s="18"/>
      <c r="C128" s="19"/>
      <c r="D128" s="298"/>
      <c r="E128" s="302"/>
      <c r="F128" s="380"/>
    </row>
    <row r="129" spans="1:6" s="89" customFormat="1" ht="38.25">
      <c r="A129" s="166" t="s">
        <v>1587</v>
      </c>
      <c r="B129" s="49" t="s">
        <v>1527</v>
      </c>
      <c r="C129" s="19"/>
      <c r="D129" s="298"/>
      <c r="E129" s="302"/>
      <c r="F129" s="380"/>
    </row>
    <row r="130" spans="1:6" s="214" customFormat="1" ht="12.75">
      <c r="A130" s="166"/>
      <c r="B130" s="18"/>
      <c r="C130" s="19"/>
      <c r="D130" s="298"/>
      <c r="E130" s="302"/>
      <c r="F130" s="380"/>
    </row>
    <row r="131" spans="1:6" s="89" customFormat="1" ht="12.75">
      <c r="A131" s="166" t="s">
        <v>667</v>
      </c>
      <c r="B131" s="18" t="s">
        <v>1529</v>
      </c>
      <c r="C131" s="19" t="s">
        <v>86</v>
      </c>
      <c r="D131" s="298">
        <v>60</v>
      </c>
      <c r="E131" s="302">
        <f>'Cost break dow.'!V125</f>
        <v>28.227542033120493</v>
      </c>
      <c r="F131" s="380">
        <f>D131*E131</f>
        <v>1693.6525219872296</v>
      </c>
    </row>
    <row r="132" spans="1:6" s="89" customFormat="1" ht="12.75">
      <c r="A132" s="166"/>
      <c r="B132" s="18"/>
      <c r="C132" s="19"/>
      <c r="D132" s="298"/>
      <c r="E132" s="302"/>
      <c r="F132" s="380"/>
    </row>
    <row r="133" spans="1:6" s="89" customFormat="1" ht="12.75">
      <c r="A133" s="166" t="s">
        <v>668</v>
      </c>
      <c r="B133" s="18" t="s">
        <v>1531</v>
      </c>
      <c r="C133" s="19" t="s">
        <v>86</v>
      </c>
      <c r="D133" s="298">
        <v>80</v>
      </c>
      <c r="E133" s="302">
        <f>E131</f>
        <v>28.227542033120493</v>
      </c>
      <c r="F133" s="380">
        <f>D133*E133</f>
        <v>2258.2033626496395</v>
      </c>
    </row>
    <row r="134" spans="1:6" s="89" customFormat="1" ht="12.75">
      <c r="A134" s="166"/>
      <c r="B134" s="18"/>
      <c r="C134" s="19"/>
      <c r="D134" s="298"/>
      <c r="E134" s="302"/>
      <c r="F134" s="380"/>
    </row>
    <row r="135" spans="1:9" ht="25.5">
      <c r="A135" s="127">
        <v>1.3</v>
      </c>
      <c r="B135" s="84" t="s">
        <v>924</v>
      </c>
      <c r="C135" s="2"/>
      <c r="D135" s="332"/>
      <c r="E135" s="302"/>
      <c r="F135" s="302"/>
      <c r="G135" s="72"/>
      <c r="H135" s="123"/>
      <c r="I135" s="91"/>
    </row>
    <row r="136" spans="1:9" ht="11.25" customHeight="1">
      <c r="A136" s="127"/>
      <c r="B136" s="84"/>
      <c r="C136" s="2"/>
      <c r="D136" s="332"/>
      <c r="E136" s="302"/>
      <c r="F136" s="302"/>
      <c r="G136" s="72"/>
      <c r="H136" s="123"/>
      <c r="I136" s="91"/>
    </row>
    <row r="137" spans="1:9" ht="14.25">
      <c r="A137" s="127" t="s">
        <v>2215</v>
      </c>
      <c r="B137" s="132" t="s">
        <v>669</v>
      </c>
      <c r="C137" s="2" t="s">
        <v>1565</v>
      </c>
      <c r="D137" s="332">
        <v>5</v>
      </c>
      <c r="E137" s="302">
        <f>'Cost break dow.'!V118</f>
        <v>290.32734629873335</v>
      </c>
      <c r="F137" s="302">
        <f>D137*E137</f>
        <v>1451.6367314936667</v>
      </c>
      <c r="G137" s="72"/>
      <c r="H137" s="123"/>
      <c r="I137" s="91"/>
    </row>
    <row r="138" spans="1:9" ht="12.75">
      <c r="A138" s="136"/>
      <c r="B138" s="84"/>
      <c r="C138" s="2"/>
      <c r="D138" s="332"/>
      <c r="E138" s="302"/>
      <c r="F138" s="302"/>
      <c r="G138" s="72"/>
      <c r="H138" s="123"/>
      <c r="I138" s="91"/>
    </row>
    <row r="139" spans="1:9" ht="14.25">
      <c r="A139" s="127" t="s">
        <v>2216</v>
      </c>
      <c r="B139" s="84" t="s">
        <v>670</v>
      </c>
      <c r="C139" s="2" t="s">
        <v>1565</v>
      </c>
      <c r="D139" s="332">
        <v>14</v>
      </c>
      <c r="E139" s="302">
        <f>E137</f>
        <v>290.32734629873335</v>
      </c>
      <c r="F139" s="302">
        <f>D139*E139</f>
        <v>4064.582848182267</v>
      </c>
      <c r="G139" s="72"/>
      <c r="H139" s="123"/>
      <c r="I139" s="91"/>
    </row>
    <row r="140" spans="1:9" ht="12.75">
      <c r="A140" s="136"/>
      <c r="B140" s="84"/>
      <c r="C140" s="2"/>
      <c r="D140" s="332"/>
      <c r="E140" s="302"/>
      <c r="F140" s="302"/>
      <c r="G140" s="72"/>
      <c r="H140" s="123"/>
      <c r="I140" s="91"/>
    </row>
    <row r="141" spans="1:9" ht="14.25">
      <c r="A141" s="213" t="s">
        <v>2217</v>
      </c>
      <c r="B141" s="27" t="s">
        <v>671</v>
      </c>
      <c r="C141" s="2" t="s">
        <v>1565</v>
      </c>
      <c r="D141" s="332">
        <v>6</v>
      </c>
      <c r="E141" s="302">
        <f>E137</f>
        <v>290.32734629873335</v>
      </c>
      <c r="F141" s="302">
        <f>D141*E141</f>
        <v>1741.9640777924</v>
      </c>
      <c r="G141" s="72"/>
      <c r="H141" s="123"/>
      <c r="I141" s="91"/>
    </row>
    <row r="142" spans="1:9" ht="12.75">
      <c r="A142" s="136"/>
      <c r="B142" s="132"/>
      <c r="C142" s="2"/>
      <c r="D142" s="332"/>
      <c r="E142" s="302"/>
      <c r="F142" s="302"/>
      <c r="G142" s="72"/>
      <c r="H142" s="123"/>
      <c r="I142" s="91"/>
    </row>
    <row r="143" spans="1:6" s="89" customFormat="1" ht="13.5" thickBot="1">
      <c r="A143" s="166"/>
      <c r="B143" s="51" t="s">
        <v>1066</v>
      </c>
      <c r="C143" s="19"/>
      <c r="D143" s="298"/>
      <c r="E143" s="302"/>
      <c r="F143" s="322">
        <f>F125+F127+F131+F133+F137+F139+F141</f>
        <v>38239.69946930437</v>
      </c>
    </row>
    <row r="144" spans="1:6" s="89" customFormat="1" ht="13.5" thickTop="1">
      <c r="A144" s="168"/>
      <c r="B144" s="164"/>
      <c r="C144" s="19"/>
      <c r="D144" s="298"/>
      <c r="E144" s="302"/>
      <c r="F144" s="380"/>
    </row>
    <row r="145" spans="1:6" s="89" customFormat="1" ht="12.75">
      <c r="A145" s="63"/>
      <c r="B145" s="18"/>
      <c r="C145" s="19"/>
      <c r="D145" s="298"/>
      <c r="E145" s="302"/>
      <c r="F145" s="380"/>
    </row>
    <row r="146" spans="1:6" s="89" customFormat="1" ht="12.75">
      <c r="A146" s="168" t="s">
        <v>44</v>
      </c>
      <c r="B146" s="13" t="s">
        <v>77</v>
      </c>
      <c r="C146" s="19"/>
      <c r="D146" s="298"/>
      <c r="E146" s="302"/>
      <c r="F146" s="380"/>
    </row>
    <row r="147" spans="1:6" s="89" customFormat="1" ht="12.75">
      <c r="A147" s="63"/>
      <c r="B147" s="18"/>
      <c r="C147" s="19"/>
      <c r="D147" s="298"/>
      <c r="E147" s="302"/>
      <c r="F147" s="380"/>
    </row>
    <row r="148" spans="1:6" s="89" customFormat="1" ht="25.5">
      <c r="A148" s="166" t="s">
        <v>2990</v>
      </c>
      <c r="B148" s="49" t="s">
        <v>78</v>
      </c>
      <c r="C148" s="19" t="s">
        <v>1565</v>
      </c>
      <c r="D148" s="298">
        <v>11</v>
      </c>
      <c r="E148" s="302">
        <f>'Trans &amp;gener. House'!E140</f>
        <v>369.41420113170915</v>
      </c>
      <c r="F148" s="380">
        <f>D148*E148</f>
        <v>4063.5562124488006</v>
      </c>
    </row>
    <row r="149" spans="1:6" s="89" customFormat="1" ht="12.75">
      <c r="A149" s="63"/>
      <c r="B149" s="49"/>
      <c r="C149" s="19"/>
      <c r="D149" s="298"/>
      <c r="E149" s="302"/>
      <c r="F149" s="380"/>
    </row>
    <row r="150" spans="1:6" s="89" customFormat="1" ht="13.5" thickBot="1">
      <c r="A150" s="166"/>
      <c r="B150" s="51" t="s">
        <v>1066</v>
      </c>
      <c r="C150" s="19"/>
      <c r="D150" s="298"/>
      <c r="E150" s="302"/>
      <c r="F150" s="322">
        <f>F148</f>
        <v>4063.5562124488006</v>
      </c>
    </row>
    <row r="151" spans="1:6" s="89" customFormat="1" ht="13.5" thickTop="1">
      <c r="A151" s="166"/>
      <c r="B151" s="18"/>
      <c r="C151" s="63"/>
      <c r="D151" s="340"/>
      <c r="E151" s="302"/>
      <c r="F151" s="380"/>
    </row>
    <row r="152" spans="1:6" s="89" customFormat="1" ht="12.75">
      <c r="A152" s="168" t="s">
        <v>1533</v>
      </c>
      <c r="B152" s="13" t="s">
        <v>79</v>
      </c>
      <c r="C152" s="19"/>
      <c r="D152" s="298"/>
      <c r="E152" s="302"/>
      <c r="F152" s="380"/>
    </row>
    <row r="153" spans="1:6" s="89" customFormat="1" ht="12.75">
      <c r="A153" s="63"/>
      <c r="B153" s="18"/>
      <c r="C153" s="19"/>
      <c r="D153" s="298"/>
      <c r="E153" s="302"/>
      <c r="F153" s="380"/>
    </row>
    <row r="154" spans="1:6" s="89" customFormat="1" ht="25.5">
      <c r="A154" s="169">
        <v>3.1</v>
      </c>
      <c r="B154" s="27" t="s">
        <v>121</v>
      </c>
      <c r="C154" s="2" t="s">
        <v>1565</v>
      </c>
      <c r="D154" s="374">
        <v>11</v>
      </c>
      <c r="E154" s="301">
        <f>'Cost break dow.'!V246</f>
        <v>161.5626438294266</v>
      </c>
      <c r="F154" s="374">
        <f>D154*E154</f>
        <v>1777.1890821236927</v>
      </c>
    </row>
    <row r="155" spans="1:6" s="89" customFormat="1" ht="12.75">
      <c r="A155" s="166"/>
      <c r="B155" s="27"/>
      <c r="C155" s="2"/>
      <c r="D155" s="298"/>
      <c r="E155" s="301"/>
      <c r="F155" s="380"/>
    </row>
    <row r="156" spans="1:6" s="89" customFormat="1" ht="25.5">
      <c r="A156" s="166" t="s">
        <v>2218</v>
      </c>
      <c r="B156" s="27" t="s">
        <v>122</v>
      </c>
      <c r="C156" s="2" t="s">
        <v>1840</v>
      </c>
      <c r="D156" s="298">
        <v>12</v>
      </c>
      <c r="E156" s="301">
        <f>'Cost break dow.'!V252</f>
        <v>134.09004385797257</v>
      </c>
      <c r="F156" s="374">
        <f>D156*E156</f>
        <v>1609.080526295671</v>
      </c>
    </row>
    <row r="157" spans="1:6" s="89" customFormat="1" ht="12.75">
      <c r="A157" s="166"/>
      <c r="B157" s="27"/>
      <c r="C157" s="2"/>
      <c r="D157" s="298"/>
      <c r="E157" s="301"/>
      <c r="F157" s="374"/>
    </row>
    <row r="158" spans="1:6" s="89" customFormat="1" ht="25.5">
      <c r="A158" s="166" t="s">
        <v>2219</v>
      </c>
      <c r="B158" s="27" t="s">
        <v>2444</v>
      </c>
      <c r="C158" s="2" t="s">
        <v>92</v>
      </c>
      <c r="D158" s="298">
        <v>12</v>
      </c>
      <c r="E158" s="301">
        <f>'Cost break dow.'!V380</f>
        <v>384.17608638115655</v>
      </c>
      <c r="F158" s="374">
        <f>D158*E158</f>
        <v>4610.113036573879</v>
      </c>
    </row>
    <row r="159" spans="1:6" s="89" customFormat="1" ht="12.75">
      <c r="A159" s="166"/>
      <c r="B159" s="84"/>
      <c r="C159" s="2"/>
      <c r="D159" s="298"/>
      <c r="E159" s="301"/>
      <c r="F159" s="374"/>
    </row>
    <row r="160" spans="1:6" s="89" customFormat="1" ht="25.5">
      <c r="A160" s="166" t="s">
        <v>2220</v>
      </c>
      <c r="B160" s="170" t="s">
        <v>80</v>
      </c>
      <c r="C160" s="2" t="s">
        <v>92</v>
      </c>
      <c r="D160" s="298">
        <v>7</v>
      </c>
      <c r="E160" s="301">
        <f>'Cost break dow.'!V240</f>
        <v>72.76441455066129</v>
      </c>
      <c r="F160" s="374">
        <f>D160*E160</f>
        <v>509.350901854629</v>
      </c>
    </row>
    <row r="161" spans="1:6" s="89" customFormat="1" ht="12.75">
      <c r="A161" s="166"/>
      <c r="B161" s="18"/>
      <c r="C161" s="19"/>
      <c r="D161" s="298"/>
      <c r="E161" s="301"/>
      <c r="F161" s="380"/>
    </row>
    <row r="162" spans="1:6" s="89" customFormat="1" ht="13.5" thickBot="1">
      <c r="A162" s="166"/>
      <c r="B162" s="51" t="s">
        <v>1066</v>
      </c>
      <c r="C162" s="19"/>
      <c r="D162" s="298"/>
      <c r="E162" s="319"/>
      <c r="F162" s="322">
        <f>F154+F156+F158+F160</f>
        <v>8505.733546847872</v>
      </c>
    </row>
    <row r="163" spans="1:6" s="89" customFormat="1" ht="13.5" thickTop="1">
      <c r="A163" s="166"/>
      <c r="B163" s="51"/>
      <c r="C163" s="19"/>
      <c r="D163" s="298"/>
      <c r="E163" s="302"/>
      <c r="F163" s="380"/>
    </row>
    <row r="164" spans="1:6" s="89" customFormat="1" ht="12.75">
      <c r="A164" s="168" t="s">
        <v>81</v>
      </c>
      <c r="B164" s="13" t="s">
        <v>82</v>
      </c>
      <c r="C164" s="19"/>
      <c r="D164" s="298"/>
      <c r="E164" s="302"/>
      <c r="F164" s="380"/>
    </row>
    <row r="165" spans="1:6" s="89" customFormat="1" ht="12.75">
      <c r="A165" s="63"/>
      <c r="B165" s="18"/>
      <c r="C165" s="19"/>
      <c r="D165" s="298"/>
      <c r="E165" s="302"/>
      <c r="F165" s="380"/>
    </row>
    <row r="166" spans="1:6" s="89" customFormat="1" ht="204">
      <c r="A166" s="166"/>
      <c r="B166" s="27" t="s">
        <v>1991</v>
      </c>
      <c r="C166" s="19"/>
      <c r="D166" s="298"/>
      <c r="E166" s="302"/>
      <c r="F166" s="380"/>
    </row>
    <row r="167" spans="1:6" s="89" customFormat="1" ht="12.75">
      <c r="A167" s="166" t="s">
        <v>2221</v>
      </c>
      <c r="B167" s="53" t="s">
        <v>1992</v>
      </c>
      <c r="C167" s="19"/>
      <c r="D167" s="298"/>
      <c r="E167" s="302"/>
      <c r="F167" s="380"/>
    </row>
    <row r="168" spans="1:6" s="89" customFormat="1" ht="12.75">
      <c r="A168" s="166"/>
      <c r="B168" s="63"/>
      <c r="C168" s="19"/>
      <c r="D168" s="298"/>
      <c r="E168" s="302"/>
      <c r="F168" s="380"/>
    </row>
    <row r="169" spans="1:6" s="89" customFormat="1" ht="12.75">
      <c r="A169" s="166" t="s">
        <v>2222</v>
      </c>
      <c r="B169" s="18" t="s">
        <v>2956</v>
      </c>
      <c r="C169" s="19" t="s">
        <v>149</v>
      </c>
      <c r="D169" s="298">
        <v>1</v>
      </c>
      <c r="E169" s="302">
        <f>0.7*3.1*'Cost break dow.'!V312</f>
        <v>8467.759676338594</v>
      </c>
      <c r="F169" s="374">
        <f>D169*E169</f>
        <v>8467.759676338594</v>
      </c>
    </row>
    <row r="170" spans="1:6" s="89" customFormat="1" ht="12.75">
      <c r="A170" s="63"/>
      <c r="B170" s="18"/>
      <c r="C170" s="19"/>
      <c r="D170" s="298"/>
      <c r="E170" s="302"/>
      <c r="F170" s="380"/>
    </row>
    <row r="171" spans="1:6" s="89" customFormat="1" ht="12.75">
      <c r="A171" s="166" t="s">
        <v>2223</v>
      </c>
      <c r="B171" s="18" t="s">
        <v>2957</v>
      </c>
      <c r="C171" s="19" t="s">
        <v>149</v>
      </c>
      <c r="D171" s="298">
        <v>1</v>
      </c>
      <c r="E171" s="302">
        <f>0.8*3.1*'Cost break dow.'!V312</f>
        <v>9677.439630101251</v>
      </c>
      <c r="F171" s="374">
        <f>D171*E171</f>
        <v>9677.439630101251</v>
      </c>
    </row>
    <row r="172" spans="1:6" s="89" customFormat="1" ht="12.75">
      <c r="A172" s="63"/>
      <c r="B172" s="18"/>
      <c r="C172" s="19"/>
      <c r="D172" s="298"/>
      <c r="E172" s="302"/>
      <c r="F172" s="380"/>
    </row>
    <row r="173" spans="1:6" s="89" customFormat="1" ht="12.75">
      <c r="A173" s="166" t="s">
        <v>672</v>
      </c>
      <c r="B173" s="53" t="s">
        <v>1993</v>
      </c>
      <c r="C173" s="19"/>
      <c r="D173" s="298"/>
      <c r="E173" s="302"/>
      <c r="F173" s="380"/>
    </row>
    <row r="174" spans="1:6" s="89" customFormat="1" ht="12.75">
      <c r="A174" s="166"/>
      <c r="B174" s="18"/>
      <c r="C174" s="19"/>
      <c r="D174" s="298"/>
      <c r="E174" s="302"/>
      <c r="F174" s="380"/>
    </row>
    <row r="175" spans="1:6" s="89" customFormat="1" ht="12.75">
      <c r="A175" s="166" t="s">
        <v>2224</v>
      </c>
      <c r="B175" s="18" t="s">
        <v>743</v>
      </c>
      <c r="C175" s="19" t="s">
        <v>149</v>
      </c>
      <c r="D175" s="298">
        <v>1</v>
      </c>
      <c r="E175" s="302">
        <f>0.7*1*'Cost break dow.'!V312</f>
        <v>2731.5353794640623</v>
      </c>
      <c r="F175" s="374">
        <f>D175*E175</f>
        <v>2731.5353794640623</v>
      </c>
    </row>
    <row r="176" spans="1:6" s="89" customFormat="1" ht="12.75">
      <c r="A176" s="166"/>
      <c r="B176" s="18"/>
      <c r="C176" s="19"/>
      <c r="D176" s="298"/>
      <c r="E176" s="302"/>
      <c r="F176" s="380"/>
    </row>
    <row r="177" spans="1:6" s="89" customFormat="1" ht="12.75">
      <c r="A177" s="166" t="s">
        <v>2225</v>
      </c>
      <c r="B177" s="18" t="s">
        <v>744</v>
      </c>
      <c r="C177" s="19" t="s">
        <v>149</v>
      </c>
      <c r="D177" s="298">
        <v>1</v>
      </c>
      <c r="E177" s="302">
        <f>1*1*'Cost break dow.'!V312</f>
        <v>3902.1933992343747</v>
      </c>
      <c r="F177" s="374">
        <f>D177*E177</f>
        <v>3902.1933992343747</v>
      </c>
    </row>
    <row r="178" spans="1:6" s="89" customFormat="1" ht="12.75">
      <c r="A178" s="166"/>
      <c r="B178" s="18"/>
      <c r="C178" s="19"/>
      <c r="D178" s="298"/>
      <c r="E178" s="302"/>
      <c r="F178" s="380"/>
    </row>
    <row r="179" spans="1:6" s="89" customFormat="1" ht="12" customHeight="1" thickBot="1">
      <c r="A179" s="166"/>
      <c r="B179" s="51" t="s">
        <v>1066</v>
      </c>
      <c r="C179" s="19"/>
      <c r="D179" s="298"/>
      <c r="E179" s="302"/>
      <c r="F179" s="322">
        <f>F169+F171+F175+F177</f>
        <v>24778.92808513828</v>
      </c>
    </row>
    <row r="180" spans="1:6" s="89" customFormat="1" ht="13.5" thickTop="1">
      <c r="A180" s="166"/>
      <c r="B180" s="18"/>
      <c r="C180" s="19"/>
      <c r="D180" s="298"/>
      <c r="E180" s="302"/>
      <c r="F180" s="380"/>
    </row>
    <row r="181" spans="1:6" s="89" customFormat="1" ht="12.75">
      <c r="A181" s="168" t="s">
        <v>83</v>
      </c>
      <c r="B181" s="13" t="s">
        <v>3163</v>
      </c>
      <c r="C181" s="19"/>
      <c r="D181" s="298"/>
      <c r="E181" s="302"/>
      <c r="F181" s="380"/>
    </row>
    <row r="182" spans="1:6" s="89" customFormat="1" ht="12.75">
      <c r="A182" s="63"/>
      <c r="B182" s="18"/>
      <c r="C182" s="19"/>
      <c r="D182" s="298"/>
      <c r="E182" s="302"/>
      <c r="F182" s="380"/>
    </row>
    <row r="183" spans="1:6" s="214" customFormat="1" ht="38.25">
      <c r="A183" s="166" t="s">
        <v>2766</v>
      </c>
      <c r="B183" s="49" t="s">
        <v>140</v>
      </c>
      <c r="C183" s="19" t="s">
        <v>1565</v>
      </c>
      <c r="D183" s="298">
        <v>11</v>
      </c>
      <c r="E183" s="302">
        <f>'Cost break dow.'!V336</f>
        <v>159.96728093410925</v>
      </c>
      <c r="F183" s="380">
        <f>D183*E183</f>
        <v>1759.6400902752018</v>
      </c>
    </row>
    <row r="184" spans="1:6" s="89" customFormat="1" ht="12.75">
      <c r="A184" s="166"/>
      <c r="B184" s="49"/>
      <c r="C184" s="19"/>
      <c r="D184" s="298"/>
      <c r="E184" s="302"/>
      <c r="F184" s="380"/>
    </row>
    <row r="185" spans="1:6" s="89" customFormat="1" ht="25.5">
      <c r="A185" s="166" t="s">
        <v>2767</v>
      </c>
      <c r="B185" s="18" t="s">
        <v>115</v>
      </c>
      <c r="C185" s="19" t="s">
        <v>1565</v>
      </c>
      <c r="D185" s="310">
        <v>9</v>
      </c>
      <c r="E185" s="302">
        <f>'Cost break dow.'!V347</f>
        <v>135.07482520401282</v>
      </c>
      <c r="F185" s="380">
        <f>D185*E185</f>
        <v>1215.6734268361154</v>
      </c>
    </row>
    <row r="186" spans="2:6" s="89" customFormat="1" ht="12.75">
      <c r="B186" s="18"/>
      <c r="C186" s="19"/>
      <c r="D186" s="310"/>
      <c r="E186" s="302"/>
      <c r="F186" s="380"/>
    </row>
    <row r="187" spans="1:6" s="89" customFormat="1" ht="25.5">
      <c r="A187" s="166" t="s">
        <v>2226</v>
      </c>
      <c r="B187" s="18" t="s">
        <v>148</v>
      </c>
      <c r="C187" s="19" t="s">
        <v>1565</v>
      </c>
      <c r="D187" s="298">
        <v>11</v>
      </c>
      <c r="E187" s="302">
        <f>E185</f>
        <v>135.07482520401282</v>
      </c>
      <c r="F187" s="380">
        <f>D187*E187</f>
        <v>1485.8230772441411</v>
      </c>
    </row>
    <row r="188" spans="1:6" s="89" customFormat="1" ht="15" customHeight="1">
      <c r="A188" s="166"/>
      <c r="B188" s="18"/>
      <c r="C188" s="19"/>
      <c r="D188" s="298"/>
      <c r="E188" s="302"/>
      <c r="F188" s="380"/>
    </row>
    <row r="189" spans="1:6" s="89" customFormat="1" ht="25.5">
      <c r="A189" s="166" t="s">
        <v>2227</v>
      </c>
      <c r="B189" s="18" t="s">
        <v>248</v>
      </c>
      <c r="C189" s="19" t="s">
        <v>1565</v>
      </c>
      <c r="D189" s="298">
        <v>7.35</v>
      </c>
      <c r="E189" s="302">
        <f>E187</f>
        <v>135.07482520401282</v>
      </c>
      <c r="F189" s="380">
        <f>D189*E189</f>
        <v>992.7999652494942</v>
      </c>
    </row>
    <row r="190" spans="2:6" s="89" customFormat="1" ht="12.75">
      <c r="B190" s="18"/>
      <c r="C190" s="19"/>
      <c r="D190" s="298"/>
      <c r="E190" s="302"/>
      <c r="F190" s="380"/>
    </row>
    <row r="191" spans="1:6" s="89" customFormat="1" ht="25.5">
      <c r="A191" s="166" t="s">
        <v>2228</v>
      </c>
      <c r="B191" s="18" t="s">
        <v>161</v>
      </c>
      <c r="C191" s="19" t="s">
        <v>1565</v>
      </c>
      <c r="D191" s="298">
        <v>11</v>
      </c>
      <c r="E191" s="301">
        <f>'Cost break dow.'!V362</f>
        <v>96.6907062942449</v>
      </c>
      <c r="F191" s="295">
        <f>D191*E191</f>
        <v>1063.597769236694</v>
      </c>
    </row>
    <row r="192" spans="1:6" s="89" customFormat="1" ht="12.75">
      <c r="A192" s="166"/>
      <c r="B192" s="49"/>
      <c r="C192" s="19"/>
      <c r="D192" s="298"/>
      <c r="E192" s="302"/>
      <c r="F192" s="380"/>
    </row>
    <row r="193" spans="1:6" s="89" customFormat="1" ht="25.5">
      <c r="A193" s="166" t="s">
        <v>2229</v>
      </c>
      <c r="B193" s="18" t="s">
        <v>159</v>
      </c>
      <c r="C193" s="19" t="s">
        <v>1565</v>
      </c>
      <c r="D193" s="310">
        <v>9</v>
      </c>
      <c r="E193" s="301">
        <f>'Cost break dow.'!V501</f>
        <v>77.11194625194184</v>
      </c>
      <c r="F193" s="295">
        <f>D193*E193</f>
        <v>694.0075162674766</v>
      </c>
    </row>
    <row r="194" spans="2:6" s="89" customFormat="1" ht="12.75">
      <c r="B194" s="18"/>
      <c r="C194" s="19"/>
      <c r="D194" s="310"/>
      <c r="E194" s="301"/>
      <c r="F194" s="295"/>
    </row>
    <row r="195" spans="1:6" s="89" customFormat="1" ht="51">
      <c r="A195" s="166" t="s">
        <v>2230</v>
      </c>
      <c r="B195" s="18" t="s">
        <v>1047</v>
      </c>
      <c r="C195" s="19" t="s">
        <v>1565</v>
      </c>
      <c r="D195" s="298">
        <v>7.35</v>
      </c>
      <c r="E195" s="301">
        <f>'Cost break dow.'!V424</f>
        <v>332.95711980088737</v>
      </c>
      <c r="F195" s="295">
        <f>D195*E195</f>
        <v>2447.234830536522</v>
      </c>
    </row>
    <row r="196" spans="1:6" s="89" customFormat="1" ht="12.75">
      <c r="A196" s="166"/>
      <c r="B196" s="18"/>
      <c r="C196" s="19"/>
      <c r="D196" s="298"/>
      <c r="E196" s="301"/>
      <c r="F196" s="295"/>
    </row>
    <row r="197" spans="1:6" s="89" customFormat="1" ht="25.5">
      <c r="A197" s="166" t="s">
        <v>2231</v>
      </c>
      <c r="B197" s="18" t="s">
        <v>3147</v>
      </c>
      <c r="C197" s="19" t="s">
        <v>1565</v>
      </c>
      <c r="D197" s="298">
        <v>12.98</v>
      </c>
      <c r="E197" s="301">
        <f>'Cost break dow.'!V443</f>
        <v>116.52608572194272</v>
      </c>
      <c r="F197" s="295">
        <f>D197*E197</f>
        <v>1512.5085926708166</v>
      </c>
    </row>
    <row r="198" spans="2:6" s="89" customFormat="1" ht="12.75">
      <c r="B198" s="18"/>
      <c r="C198" s="19"/>
      <c r="D198" s="310"/>
      <c r="E198" s="301"/>
      <c r="F198" s="295"/>
    </row>
    <row r="199" spans="1:6" s="89" customFormat="1" ht="38.25">
      <c r="A199" s="166" t="s">
        <v>2232</v>
      </c>
      <c r="B199" s="84" t="s">
        <v>3021</v>
      </c>
      <c r="C199" s="2" t="s">
        <v>1565</v>
      </c>
      <c r="D199" s="310">
        <v>4</v>
      </c>
      <c r="E199" s="316">
        <f>'Cost break dow.'!V288</f>
        <v>1139.7335407864464</v>
      </c>
      <c r="F199" s="314">
        <f>D199*E199</f>
        <v>4558.9341631457855</v>
      </c>
    </row>
    <row r="200" spans="1:6" s="89" customFormat="1" ht="12.75">
      <c r="A200" s="166"/>
      <c r="B200" s="49"/>
      <c r="C200" s="19"/>
      <c r="D200" s="298"/>
      <c r="E200" s="302"/>
      <c r="F200" s="380"/>
    </row>
    <row r="201" spans="1:6" s="89" customFormat="1" ht="25.5">
      <c r="A201" s="166" t="s">
        <v>2233</v>
      </c>
      <c r="B201" s="49" t="s">
        <v>147</v>
      </c>
      <c r="C201" s="19" t="s">
        <v>1565</v>
      </c>
      <c r="D201" s="298">
        <v>9</v>
      </c>
      <c r="E201" s="302">
        <f>'Cost break dow.'!V385</f>
        <v>289.9523990414007</v>
      </c>
      <c r="F201" s="380">
        <f>D201*E201</f>
        <v>2609.5715913726067</v>
      </c>
    </row>
    <row r="202" spans="2:6" s="89" customFormat="1" ht="12.75">
      <c r="B202" s="49"/>
      <c r="C202" s="19"/>
      <c r="D202" s="298"/>
      <c r="E202" s="302"/>
      <c r="F202" s="380"/>
    </row>
    <row r="203" spans="1:6" s="89" customFormat="1" ht="25.5">
      <c r="A203" s="166" t="s">
        <v>2234</v>
      </c>
      <c r="B203" s="171" t="s">
        <v>3148</v>
      </c>
      <c r="C203" s="2" t="s">
        <v>92</v>
      </c>
      <c r="D203" s="310">
        <v>24</v>
      </c>
      <c r="E203" s="374">
        <f>'Cost break dow.'!V456</f>
        <v>206.5998502891973</v>
      </c>
      <c r="F203" s="374">
        <f>D203*E203</f>
        <v>4958.396406940735</v>
      </c>
    </row>
    <row r="204" spans="1:6" s="89" customFormat="1" ht="12.75">
      <c r="A204" s="166"/>
      <c r="B204" s="171"/>
      <c r="C204" s="2"/>
      <c r="D204" s="285"/>
      <c r="E204" s="316"/>
      <c r="F204" s="374"/>
    </row>
    <row r="205" spans="1:6" s="89" customFormat="1" ht="13.5" thickBot="1">
      <c r="A205" s="166"/>
      <c r="B205" s="172" t="s">
        <v>1066</v>
      </c>
      <c r="C205" s="19"/>
      <c r="D205" s="298"/>
      <c r="E205" s="302"/>
      <c r="F205" s="322">
        <f>F203+F201+F199+F197+F195+F193+F191+F189+F187+F185+F183</f>
        <v>23298.18742977559</v>
      </c>
    </row>
    <row r="206" spans="1:6" s="89" customFormat="1" ht="13.5" thickTop="1">
      <c r="A206" s="166"/>
      <c r="B206" s="173"/>
      <c r="C206" s="174"/>
      <c r="D206" s="375"/>
      <c r="E206" s="302"/>
      <c r="F206" s="388"/>
    </row>
    <row r="207" spans="1:6" s="214" customFormat="1" ht="12.75">
      <c r="A207" s="168" t="s">
        <v>141</v>
      </c>
      <c r="B207" s="175" t="s">
        <v>1067</v>
      </c>
      <c r="C207" s="19"/>
      <c r="D207" s="298"/>
      <c r="E207" s="302"/>
      <c r="F207" s="380"/>
    </row>
    <row r="208" spans="1:6" s="89" customFormat="1" ht="12.75">
      <c r="A208" s="63"/>
      <c r="B208" s="49"/>
      <c r="C208" s="19"/>
      <c r="D208" s="298"/>
      <c r="E208" s="302"/>
      <c r="F208" s="380"/>
    </row>
    <row r="209" spans="1:6" s="89" customFormat="1" ht="25.5">
      <c r="A209" s="166" t="s">
        <v>142</v>
      </c>
      <c r="B209" s="49" t="s">
        <v>143</v>
      </c>
      <c r="C209" s="19" t="s">
        <v>1565</v>
      </c>
      <c r="D209" s="298">
        <v>18</v>
      </c>
      <c r="E209" s="302">
        <f>'Cost break dow.'!V490</f>
        <v>277.7532133431297</v>
      </c>
      <c r="F209" s="380">
        <f>D209*E209</f>
        <v>4999.557840176334</v>
      </c>
    </row>
    <row r="210" spans="1:6" s="89" customFormat="1" ht="12.75">
      <c r="A210" s="166"/>
      <c r="B210" s="18"/>
      <c r="C210" s="19"/>
      <c r="D210" s="298"/>
      <c r="E210" s="302"/>
      <c r="F210" s="380"/>
    </row>
    <row r="211" spans="1:6" s="89" customFormat="1" ht="13.5" thickBot="1">
      <c r="A211" s="166"/>
      <c r="B211" s="51" t="s">
        <v>1066</v>
      </c>
      <c r="C211" s="19"/>
      <c r="D211" s="298"/>
      <c r="E211" s="302"/>
      <c r="F211" s="322">
        <f>F209</f>
        <v>4999.557840176334</v>
      </c>
    </row>
    <row r="212" spans="1:6" s="89" customFormat="1" ht="13.5" thickTop="1">
      <c r="A212" s="166"/>
      <c r="B212" s="18"/>
      <c r="C212" s="19"/>
      <c r="D212" s="298"/>
      <c r="E212" s="302"/>
      <c r="F212" s="380"/>
    </row>
    <row r="213" spans="1:6" s="89" customFormat="1" ht="12.75">
      <c r="A213" s="168" t="s">
        <v>144</v>
      </c>
      <c r="B213" s="13" t="s">
        <v>2771</v>
      </c>
      <c r="C213" s="19"/>
      <c r="D213" s="298"/>
      <c r="E213" s="302"/>
      <c r="F213" s="380"/>
    </row>
    <row r="214" spans="1:6" s="89" customFormat="1" ht="12.75">
      <c r="A214" s="63"/>
      <c r="B214" s="18"/>
      <c r="C214" s="19"/>
      <c r="D214" s="298"/>
      <c r="E214" s="302"/>
      <c r="F214" s="380"/>
    </row>
    <row r="215" spans="1:6" s="89" customFormat="1" ht="25.5">
      <c r="A215" s="166" t="s">
        <v>145</v>
      </c>
      <c r="B215" s="49" t="s">
        <v>146</v>
      </c>
      <c r="C215" s="19" t="s">
        <v>1565</v>
      </c>
      <c r="D215" s="298">
        <v>11</v>
      </c>
      <c r="E215" s="302">
        <f>'Cost break dow.'!V495</f>
        <v>49.73559579465977</v>
      </c>
      <c r="F215" s="380">
        <f>D215*E215</f>
        <v>547.0915537412575</v>
      </c>
    </row>
    <row r="216" spans="1:6" s="89" customFormat="1" ht="12.75">
      <c r="A216" s="166"/>
      <c r="B216" s="49"/>
      <c r="C216" s="19"/>
      <c r="D216" s="298"/>
      <c r="E216" s="302"/>
      <c r="F216" s="380"/>
    </row>
    <row r="217" spans="1:6" s="89" customFormat="1" ht="14.25">
      <c r="A217" s="17">
        <v>7.2</v>
      </c>
      <c r="B217" s="18" t="s">
        <v>244</v>
      </c>
      <c r="C217" s="19" t="s">
        <v>1565</v>
      </c>
      <c r="D217" s="298">
        <v>9</v>
      </c>
      <c r="E217" s="302">
        <f>E215</f>
        <v>49.73559579465977</v>
      </c>
      <c r="F217" s="380">
        <f>D217*E217</f>
        <v>447.62036215193797</v>
      </c>
    </row>
    <row r="218" spans="1:6" s="89" customFormat="1" ht="12.75">
      <c r="A218" s="63"/>
      <c r="B218" s="18"/>
      <c r="C218" s="19"/>
      <c r="D218" s="298"/>
      <c r="E218" s="302"/>
      <c r="F218" s="380"/>
    </row>
    <row r="219" spans="1:6" s="89" customFormat="1" ht="14.25">
      <c r="A219" s="17">
        <v>7.3</v>
      </c>
      <c r="B219" s="84" t="s">
        <v>3022</v>
      </c>
      <c r="C219" s="19" t="s">
        <v>1565</v>
      </c>
      <c r="D219" s="298">
        <v>4</v>
      </c>
      <c r="E219" s="302">
        <f>E215</f>
        <v>49.73559579465977</v>
      </c>
      <c r="F219" s="380">
        <f>D219*E219</f>
        <v>198.9423831786391</v>
      </c>
    </row>
    <row r="220" spans="1:6" s="89" customFormat="1" ht="12.75">
      <c r="A220" s="166"/>
      <c r="B220" s="63"/>
      <c r="C220" s="19"/>
      <c r="D220" s="298"/>
      <c r="E220" s="302"/>
      <c r="F220" s="380"/>
    </row>
    <row r="221" spans="1:6" s="89" customFormat="1" ht="13.5" thickBot="1">
      <c r="A221" s="166"/>
      <c r="B221" s="51"/>
      <c r="C221" s="19"/>
      <c r="D221" s="298"/>
      <c r="E221" s="302"/>
      <c r="F221" s="322">
        <f>F215+F217+F219</f>
        <v>1193.6542990718347</v>
      </c>
    </row>
    <row r="222" spans="1:6" s="89" customFormat="1" ht="13.5" thickTop="1">
      <c r="A222" s="166"/>
      <c r="B222" s="51"/>
      <c r="C222" s="19"/>
      <c r="D222" s="298"/>
      <c r="E222" s="302"/>
      <c r="F222" s="380"/>
    </row>
    <row r="223" spans="1:6" s="89" customFormat="1" ht="13.5" thickBot="1">
      <c r="A223" s="166"/>
      <c r="B223" s="51" t="s">
        <v>1066</v>
      </c>
      <c r="C223" s="19"/>
      <c r="D223" s="298"/>
      <c r="E223" s="302"/>
      <c r="F223" s="322">
        <f>F221+F211+F205+F179+F162+F150+F143+F117+F111+F86</f>
        <v>128248.09271218111</v>
      </c>
    </row>
    <row r="224" spans="1:6" s="190" customFormat="1" ht="13.5" thickTop="1">
      <c r="A224" s="166"/>
      <c r="B224" s="18"/>
      <c r="C224" s="19"/>
      <c r="D224" s="298"/>
      <c r="E224" s="302"/>
      <c r="F224" s="380"/>
    </row>
    <row r="225" spans="1:6" s="182" customFormat="1" ht="12.75">
      <c r="A225" s="177"/>
      <c r="B225" s="212"/>
      <c r="D225" s="217"/>
      <c r="E225" s="389"/>
      <c r="F225" s="390"/>
    </row>
    <row r="226" spans="1:6" s="66" customFormat="1" ht="12.75" customHeight="1">
      <c r="A226" s="167">
        <v>5</v>
      </c>
      <c r="B226" s="65" t="s">
        <v>1409</v>
      </c>
      <c r="C226" s="14"/>
      <c r="D226" s="338"/>
      <c r="E226" s="303"/>
      <c r="F226" s="294"/>
    </row>
    <row r="227" spans="1:6" s="66" customFormat="1" ht="12.75">
      <c r="A227" s="167"/>
      <c r="B227" s="65" t="s">
        <v>33</v>
      </c>
      <c r="C227" s="14"/>
      <c r="D227" s="338"/>
      <c r="E227" s="303"/>
      <c r="F227" s="294"/>
    </row>
    <row r="228" spans="1:6" ht="12.75">
      <c r="A228" s="245"/>
      <c r="B228" s="54"/>
      <c r="C228" s="19"/>
      <c r="D228" s="298"/>
      <c r="E228" s="301"/>
      <c r="F228" s="295"/>
    </row>
    <row r="229" spans="1:6" ht="12.75">
      <c r="A229" s="17"/>
      <c r="B229" s="54" t="s">
        <v>673</v>
      </c>
      <c r="C229" s="19"/>
      <c r="D229" s="298"/>
      <c r="E229" s="301"/>
      <c r="F229" s="295"/>
    </row>
    <row r="230" spans="1:6" ht="12.75">
      <c r="A230" s="17"/>
      <c r="B230" s="54"/>
      <c r="C230" s="19"/>
      <c r="D230" s="298"/>
      <c r="E230" s="301"/>
      <c r="F230" s="295"/>
    </row>
    <row r="231" spans="1:6" ht="25.5">
      <c r="A231" s="17" t="s">
        <v>674</v>
      </c>
      <c r="B231" s="54" t="s">
        <v>675</v>
      </c>
      <c r="C231" s="19"/>
      <c r="D231" s="298"/>
      <c r="E231" s="301"/>
      <c r="F231" s="295"/>
    </row>
    <row r="232" spans="1:6" ht="25.5">
      <c r="A232" s="17"/>
      <c r="B232" s="54" t="s">
        <v>676</v>
      </c>
      <c r="C232" s="19"/>
      <c r="D232" s="298"/>
      <c r="E232" s="301"/>
      <c r="F232" s="295"/>
    </row>
    <row r="233" spans="1:6" ht="12.75">
      <c r="A233" s="187"/>
      <c r="B233" s="54" t="s">
        <v>677</v>
      </c>
      <c r="C233" s="19"/>
      <c r="D233" s="298"/>
      <c r="E233" s="301"/>
      <c r="F233" s="295"/>
    </row>
    <row r="234" spans="1:6" ht="12.75">
      <c r="A234" s="17"/>
      <c r="B234" s="54"/>
      <c r="C234" s="19"/>
      <c r="D234" s="298"/>
      <c r="E234" s="301"/>
      <c r="F234" s="295"/>
    </row>
    <row r="235" spans="1:6" ht="12.75" customHeight="1">
      <c r="A235" s="17"/>
      <c r="B235" s="54" t="s">
        <v>678</v>
      </c>
      <c r="C235" s="19"/>
      <c r="D235" s="298"/>
      <c r="E235" s="301"/>
      <c r="F235" s="295"/>
    </row>
    <row r="236" spans="1:6" ht="12.75">
      <c r="A236" s="17"/>
      <c r="B236" s="54" t="s">
        <v>679</v>
      </c>
      <c r="C236" s="19"/>
      <c r="D236" s="298"/>
      <c r="E236" s="301"/>
      <c r="F236" s="295"/>
    </row>
    <row r="237" spans="1:6" ht="12.75" customHeight="1">
      <c r="A237" s="187"/>
      <c r="B237" s="54" t="s">
        <v>680</v>
      </c>
      <c r="C237" s="19"/>
      <c r="D237" s="298"/>
      <c r="E237" s="301"/>
      <c r="F237" s="295"/>
    </row>
    <row r="238" spans="1:6" ht="12.75">
      <c r="A238" s="17"/>
      <c r="B238" s="54" t="s">
        <v>681</v>
      </c>
      <c r="C238" s="19"/>
      <c r="D238" s="298"/>
      <c r="E238" s="301"/>
      <c r="F238" s="295"/>
    </row>
    <row r="239" spans="1:6" ht="12.75" customHeight="1">
      <c r="A239" s="17"/>
      <c r="B239" s="54" t="s">
        <v>682</v>
      </c>
      <c r="C239" s="19"/>
      <c r="D239" s="298"/>
      <c r="E239" s="301"/>
      <c r="F239" s="295"/>
    </row>
    <row r="240" spans="1:6" ht="12.75">
      <c r="A240" s="17"/>
      <c r="B240" s="54" t="s">
        <v>683</v>
      </c>
      <c r="C240" s="19"/>
      <c r="D240" s="298"/>
      <c r="E240" s="301"/>
      <c r="F240" s="295"/>
    </row>
    <row r="241" spans="1:6" ht="12.75">
      <c r="A241" s="245"/>
      <c r="B241" s="54" t="s">
        <v>684</v>
      </c>
      <c r="C241" s="19"/>
      <c r="D241" s="298"/>
      <c r="E241" s="301"/>
      <c r="F241" s="295"/>
    </row>
    <row r="242" spans="1:6" ht="12.75">
      <c r="A242" s="17"/>
      <c r="B242" s="54" t="s">
        <v>685</v>
      </c>
      <c r="C242" s="19"/>
      <c r="D242" s="298"/>
      <c r="E242" s="301"/>
      <c r="F242" s="295"/>
    </row>
    <row r="243" spans="1:6" ht="12.75">
      <c r="A243" s="17"/>
      <c r="B243" s="54" t="s">
        <v>686</v>
      </c>
      <c r="C243" s="19"/>
      <c r="D243" s="298"/>
      <c r="E243" s="301"/>
      <c r="F243" s="295"/>
    </row>
    <row r="244" spans="1:6" ht="12.75">
      <c r="A244" s="17"/>
      <c r="B244" s="54" t="s">
        <v>1252</v>
      </c>
      <c r="C244" s="19" t="s">
        <v>1561</v>
      </c>
      <c r="D244" s="298">
        <v>1</v>
      </c>
      <c r="E244" s="301">
        <f>'Cost break dow.'!V781</f>
        <v>79420.39967750525</v>
      </c>
      <c r="F244" s="295">
        <f>D244*E244</f>
        <v>79420.39967750525</v>
      </c>
    </row>
    <row r="245" spans="1:6" ht="12.75">
      <c r="A245" s="17"/>
      <c r="B245" s="54"/>
      <c r="C245" s="19"/>
      <c r="D245" s="298"/>
      <c r="E245" s="301"/>
      <c r="F245" s="295">
        <f aca="true" t="shared" si="0" ref="F245:F308">D245*E245</f>
        <v>0</v>
      </c>
    </row>
    <row r="246" spans="1:6" ht="38.25">
      <c r="A246" s="187" t="s">
        <v>1253</v>
      </c>
      <c r="B246" s="54" t="s">
        <v>2634</v>
      </c>
      <c r="C246" s="19"/>
      <c r="D246" s="298"/>
      <c r="E246" s="301"/>
      <c r="F246" s="295">
        <f t="shared" si="0"/>
        <v>0</v>
      </c>
    </row>
    <row r="247" spans="1:6" ht="12.75">
      <c r="A247" s="17"/>
      <c r="B247" s="54"/>
      <c r="C247" s="19"/>
      <c r="D247" s="298"/>
      <c r="E247" s="301"/>
      <c r="F247" s="295">
        <f t="shared" si="0"/>
        <v>0</v>
      </c>
    </row>
    <row r="248" spans="1:6" ht="12.75" customHeight="1">
      <c r="A248" s="187"/>
      <c r="B248" s="54" t="s">
        <v>1254</v>
      </c>
      <c r="C248" s="19"/>
      <c r="D248" s="298"/>
      <c r="E248" s="301"/>
      <c r="F248" s="295">
        <f t="shared" si="0"/>
        <v>0</v>
      </c>
    </row>
    <row r="249" spans="1:6" ht="12.75">
      <c r="A249" s="17"/>
      <c r="B249" s="54" t="s">
        <v>1255</v>
      </c>
      <c r="C249" s="19"/>
      <c r="D249" s="298"/>
      <c r="E249" s="301"/>
      <c r="F249" s="295">
        <f t="shared" si="0"/>
        <v>0</v>
      </c>
    </row>
    <row r="250" spans="1:6" ht="12.75" customHeight="1">
      <c r="A250" s="17"/>
      <c r="B250" s="54" t="s">
        <v>1256</v>
      </c>
      <c r="C250" s="19"/>
      <c r="D250" s="298"/>
      <c r="E250" s="301"/>
      <c r="F250" s="295">
        <f t="shared" si="0"/>
        <v>0</v>
      </c>
    </row>
    <row r="251" spans="1:6" ht="12.75">
      <c r="A251" s="17"/>
      <c r="B251" s="54" t="s">
        <v>1257</v>
      </c>
      <c r="C251" s="19" t="s">
        <v>1561</v>
      </c>
      <c r="D251" s="298">
        <v>1</v>
      </c>
      <c r="E251" s="301">
        <f>'Cost break dow.'!V728</f>
        <v>2316.76740449105</v>
      </c>
      <c r="F251" s="295">
        <f t="shared" si="0"/>
        <v>2316.76740449105</v>
      </c>
    </row>
    <row r="252" spans="1:6" ht="12.75">
      <c r="A252" s="245"/>
      <c r="B252" s="54"/>
      <c r="C252" s="19"/>
      <c r="D252" s="298"/>
      <c r="E252" s="301"/>
      <c r="F252" s="295">
        <f t="shared" si="0"/>
        <v>0</v>
      </c>
    </row>
    <row r="253" spans="1:6" ht="14.25" customHeight="1">
      <c r="A253" s="17" t="s">
        <v>1258</v>
      </c>
      <c r="B253" s="54" t="s">
        <v>2695</v>
      </c>
      <c r="C253" s="19"/>
      <c r="D253" s="298"/>
      <c r="E253" s="301"/>
      <c r="F253" s="295">
        <f t="shared" si="0"/>
        <v>0</v>
      </c>
    </row>
    <row r="254" spans="1:6" ht="25.5">
      <c r="A254" s="17"/>
      <c r="B254" s="54" t="s">
        <v>2635</v>
      </c>
      <c r="C254" s="19"/>
      <c r="D254" s="298"/>
      <c r="E254" s="301"/>
      <c r="F254" s="295">
        <f t="shared" si="0"/>
        <v>0</v>
      </c>
    </row>
    <row r="255" spans="1:6" ht="12.75">
      <c r="A255" s="17"/>
      <c r="B255" s="54"/>
      <c r="C255" s="19"/>
      <c r="D255" s="298"/>
      <c r="E255" s="301"/>
      <c r="F255" s="295">
        <f t="shared" si="0"/>
        <v>0</v>
      </c>
    </row>
    <row r="256" spans="1:6" ht="12.75">
      <c r="A256" s="17"/>
      <c r="B256" s="54" t="s">
        <v>2696</v>
      </c>
      <c r="C256" s="19"/>
      <c r="D256" s="298"/>
      <c r="E256" s="301"/>
      <c r="F256" s="295">
        <f t="shared" si="0"/>
        <v>0</v>
      </c>
    </row>
    <row r="257" spans="1:6" ht="12.75">
      <c r="A257" s="187"/>
      <c r="B257" s="54" t="s">
        <v>1256</v>
      </c>
      <c r="C257" s="19"/>
      <c r="D257" s="298"/>
      <c r="E257" s="301"/>
      <c r="F257" s="295">
        <f t="shared" si="0"/>
        <v>0</v>
      </c>
    </row>
    <row r="258" spans="1:6" ht="12.75">
      <c r="A258" s="17"/>
      <c r="B258" s="54" t="s">
        <v>2697</v>
      </c>
      <c r="C258" s="19"/>
      <c r="D258" s="298"/>
      <c r="E258" s="301"/>
      <c r="F258" s="295">
        <f t="shared" si="0"/>
        <v>0</v>
      </c>
    </row>
    <row r="259" spans="1:6" ht="12.75" customHeight="1">
      <c r="A259" s="17"/>
      <c r="B259" s="54" t="s">
        <v>2698</v>
      </c>
      <c r="C259" s="19"/>
      <c r="D259" s="298"/>
      <c r="E259" s="301"/>
      <c r="F259" s="295">
        <f t="shared" si="0"/>
        <v>0</v>
      </c>
    </row>
    <row r="260" spans="1:6" ht="12.75">
      <c r="A260" s="17"/>
      <c r="B260" s="54" t="s">
        <v>2301</v>
      </c>
      <c r="C260" s="19"/>
      <c r="D260" s="298"/>
      <c r="E260" s="301"/>
      <c r="F260" s="295">
        <f t="shared" si="0"/>
        <v>0</v>
      </c>
    </row>
    <row r="261" spans="1:6" ht="12.75" customHeight="1">
      <c r="A261" s="187"/>
      <c r="B261" s="54" t="s">
        <v>2699</v>
      </c>
      <c r="C261" s="19"/>
      <c r="D261" s="298"/>
      <c r="E261" s="301"/>
      <c r="F261" s="295">
        <f t="shared" si="0"/>
        <v>0</v>
      </c>
    </row>
    <row r="262" spans="1:6" ht="38.25">
      <c r="A262" s="17"/>
      <c r="B262" s="54" t="s">
        <v>2636</v>
      </c>
      <c r="C262" s="19" t="s">
        <v>1561</v>
      </c>
      <c r="D262" s="298">
        <v>1</v>
      </c>
      <c r="E262" s="301">
        <v>4500</v>
      </c>
      <c r="F262" s="295">
        <f t="shared" si="0"/>
        <v>4500</v>
      </c>
    </row>
    <row r="263" spans="1:6" ht="12.75" customHeight="1">
      <c r="A263" s="17"/>
      <c r="B263" s="54"/>
      <c r="C263" s="19"/>
      <c r="D263" s="298"/>
      <c r="E263" s="301"/>
      <c r="F263" s="295">
        <f t="shared" si="0"/>
        <v>0</v>
      </c>
    </row>
    <row r="264" spans="1:6" ht="12.75" customHeight="1">
      <c r="A264" s="17" t="s">
        <v>2139</v>
      </c>
      <c r="B264" s="54" t="s">
        <v>2140</v>
      </c>
      <c r="C264" s="19"/>
      <c r="D264" s="298"/>
      <c r="E264" s="301"/>
      <c r="F264" s="295">
        <f t="shared" si="0"/>
        <v>0</v>
      </c>
    </row>
    <row r="265" spans="1:6" ht="25.5">
      <c r="A265" s="17"/>
      <c r="B265" s="54" t="s">
        <v>2635</v>
      </c>
      <c r="C265" s="19"/>
      <c r="D265" s="298"/>
      <c r="E265" s="301"/>
      <c r="F265" s="295">
        <f t="shared" si="0"/>
        <v>0</v>
      </c>
    </row>
    <row r="266" spans="1:6" ht="12.75" customHeight="1">
      <c r="A266" s="187"/>
      <c r="B266" s="54"/>
      <c r="C266" s="19"/>
      <c r="D266" s="298"/>
      <c r="E266" s="301"/>
      <c r="F266" s="295">
        <f t="shared" si="0"/>
        <v>0</v>
      </c>
    </row>
    <row r="267" spans="1:6" ht="12.75">
      <c r="A267" s="17"/>
      <c r="B267" s="54" t="s">
        <v>2141</v>
      </c>
      <c r="C267" s="19"/>
      <c r="D267" s="298"/>
      <c r="E267" s="301"/>
      <c r="F267" s="295">
        <f t="shared" si="0"/>
        <v>0</v>
      </c>
    </row>
    <row r="268" spans="1:6" ht="12.75" customHeight="1">
      <c r="A268" s="17"/>
      <c r="B268" s="54" t="s">
        <v>1255</v>
      </c>
      <c r="C268" s="19"/>
      <c r="D268" s="298"/>
      <c r="E268" s="301"/>
      <c r="F268" s="295">
        <f t="shared" si="0"/>
        <v>0</v>
      </c>
    </row>
    <row r="269" spans="1:6" ht="12.75">
      <c r="A269" s="17"/>
      <c r="B269" s="54" t="s">
        <v>2142</v>
      </c>
      <c r="C269" s="19"/>
      <c r="D269" s="298"/>
      <c r="E269" s="301"/>
      <c r="F269" s="295">
        <f t="shared" si="0"/>
        <v>0</v>
      </c>
    </row>
    <row r="270" spans="1:6" ht="12.75">
      <c r="A270" s="245"/>
      <c r="B270" s="54" t="s">
        <v>2697</v>
      </c>
      <c r="C270" s="19"/>
      <c r="D270" s="298"/>
      <c r="E270" s="301"/>
      <c r="F270" s="295">
        <f t="shared" si="0"/>
        <v>0</v>
      </c>
    </row>
    <row r="271" spans="1:6" ht="15.75" customHeight="1">
      <c r="A271" s="17"/>
      <c r="B271" s="54" t="s">
        <v>2143</v>
      </c>
      <c r="C271" s="19"/>
      <c r="D271" s="298"/>
      <c r="E271" s="301"/>
      <c r="F271" s="295">
        <f t="shared" si="0"/>
        <v>0</v>
      </c>
    </row>
    <row r="272" spans="1:6" ht="12.75">
      <c r="A272" s="17"/>
      <c r="B272" s="54" t="s">
        <v>2301</v>
      </c>
      <c r="C272" s="19"/>
      <c r="D272" s="298"/>
      <c r="E272" s="301"/>
      <c r="F272" s="295">
        <f t="shared" si="0"/>
        <v>0</v>
      </c>
    </row>
    <row r="273" spans="1:6" ht="12.75">
      <c r="A273" s="17"/>
      <c r="B273" s="54" t="s">
        <v>2144</v>
      </c>
      <c r="C273" s="19"/>
      <c r="D273" s="298"/>
      <c r="E273" s="301"/>
      <c r="F273" s="295">
        <f t="shared" si="0"/>
        <v>0</v>
      </c>
    </row>
    <row r="274" spans="1:6" ht="12.75">
      <c r="A274" s="17"/>
      <c r="B274" s="54" t="s">
        <v>2301</v>
      </c>
      <c r="C274" s="19"/>
      <c r="D274" s="298"/>
      <c r="E274" s="301"/>
      <c r="F274" s="295">
        <f t="shared" si="0"/>
        <v>0</v>
      </c>
    </row>
    <row r="275" spans="1:6" ht="25.5">
      <c r="A275" s="187"/>
      <c r="B275" s="54" t="s">
        <v>2145</v>
      </c>
      <c r="C275" s="19"/>
      <c r="D275" s="298"/>
      <c r="E275" s="301"/>
      <c r="F275" s="295">
        <f t="shared" si="0"/>
        <v>0</v>
      </c>
    </row>
    <row r="276" spans="1:6" ht="25.5">
      <c r="A276" s="17"/>
      <c r="B276" s="54" t="s">
        <v>2138</v>
      </c>
      <c r="C276" s="19"/>
      <c r="D276" s="298"/>
      <c r="E276" s="301"/>
      <c r="F276" s="295">
        <f t="shared" si="0"/>
        <v>0</v>
      </c>
    </row>
    <row r="277" spans="1:6" ht="12.75" customHeight="1">
      <c r="A277" s="17"/>
      <c r="B277" s="54"/>
      <c r="C277" s="19"/>
      <c r="D277" s="298"/>
      <c r="E277" s="301"/>
      <c r="F277" s="295">
        <f t="shared" si="0"/>
        <v>0</v>
      </c>
    </row>
    <row r="278" spans="1:6" ht="12.75">
      <c r="A278" s="17"/>
      <c r="B278" s="54" t="s">
        <v>2544</v>
      </c>
      <c r="C278" s="19"/>
      <c r="D278" s="298"/>
      <c r="E278" s="301"/>
      <c r="F278" s="295">
        <f t="shared" si="0"/>
        <v>0</v>
      </c>
    </row>
    <row r="279" spans="1:6" ht="12.75" customHeight="1">
      <c r="A279" s="187"/>
      <c r="B279" s="54" t="s">
        <v>2537</v>
      </c>
      <c r="C279" s="19" t="s">
        <v>1561</v>
      </c>
      <c r="D279" s="298">
        <v>1</v>
      </c>
      <c r="E279" s="301">
        <v>6500</v>
      </c>
      <c r="F279" s="295">
        <f t="shared" si="0"/>
        <v>6500</v>
      </c>
    </row>
    <row r="280" spans="1:6" ht="12.75" customHeight="1">
      <c r="A280" s="187"/>
      <c r="B280" s="54"/>
      <c r="C280" s="19"/>
      <c r="D280" s="298"/>
      <c r="E280" s="301"/>
      <c r="F280" s="295">
        <f t="shared" si="0"/>
        <v>0</v>
      </c>
    </row>
    <row r="281" spans="1:6" ht="12.75">
      <c r="A281" s="17"/>
      <c r="B281" s="54" t="s">
        <v>2146</v>
      </c>
      <c r="C281" s="19"/>
      <c r="D281" s="298"/>
      <c r="E281" s="301"/>
      <c r="F281" s="295">
        <f t="shared" si="0"/>
        <v>0</v>
      </c>
    </row>
    <row r="282" spans="1:6" ht="12.75">
      <c r="A282" s="17"/>
      <c r="B282" s="54"/>
      <c r="C282" s="19"/>
      <c r="D282" s="298"/>
      <c r="E282" s="301"/>
      <c r="F282" s="295">
        <f t="shared" si="0"/>
        <v>0</v>
      </c>
    </row>
    <row r="283" spans="1:6" ht="12.75" customHeight="1">
      <c r="A283" s="17" t="s">
        <v>1654</v>
      </c>
      <c r="B283" s="54" t="s">
        <v>1655</v>
      </c>
      <c r="C283" s="19"/>
      <c r="D283" s="298"/>
      <c r="E283" s="301"/>
      <c r="F283" s="295">
        <f t="shared" si="0"/>
        <v>0</v>
      </c>
    </row>
    <row r="284" spans="1:6" ht="12.75">
      <c r="A284" s="17"/>
      <c r="B284" s="54" t="s">
        <v>1656</v>
      </c>
      <c r="C284" s="19"/>
      <c r="D284" s="298"/>
      <c r="E284" s="301"/>
      <c r="F284" s="295">
        <f t="shared" si="0"/>
        <v>0</v>
      </c>
    </row>
    <row r="285" spans="1:6" ht="12.75">
      <c r="A285" s="245"/>
      <c r="B285" s="54" t="s">
        <v>1657</v>
      </c>
      <c r="C285" s="19"/>
      <c r="D285" s="298"/>
      <c r="E285" s="301"/>
      <c r="F285" s="295">
        <f t="shared" si="0"/>
        <v>0</v>
      </c>
    </row>
    <row r="286" spans="1:6" ht="12.75">
      <c r="A286" s="17"/>
      <c r="B286" s="54" t="s">
        <v>1658</v>
      </c>
      <c r="C286" s="19"/>
      <c r="D286" s="298"/>
      <c r="E286" s="301"/>
      <c r="F286" s="295">
        <f t="shared" si="0"/>
        <v>0</v>
      </c>
    </row>
    <row r="287" spans="1:6" ht="12.75">
      <c r="A287" s="17"/>
      <c r="B287" s="54" t="s">
        <v>1659</v>
      </c>
      <c r="C287" s="19"/>
      <c r="D287" s="298"/>
      <c r="E287" s="301"/>
      <c r="F287" s="295">
        <f t="shared" si="0"/>
        <v>0</v>
      </c>
    </row>
    <row r="288" spans="1:6" ht="12.75">
      <c r="A288" s="17"/>
      <c r="B288" s="54" t="s">
        <v>1660</v>
      </c>
      <c r="C288" s="19"/>
      <c r="D288" s="298"/>
      <c r="E288" s="301"/>
      <c r="F288" s="295">
        <f t="shared" si="0"/>
        <v>0</v>
      </c>
    </row>
    <row r="289" spans="1:6" ht="12.75">
      <c r="A289" s="17"/>
      <c r="B289" s="54" t="s">
        <v>1661</v>
      </c>
      <c r="C289" s="19"/>
      <c r="D289" s="298"/>
      <c r="E289" s="301"/>
      <c r="F289" s="295">
        <f t="shared" si="0"/>
        <v>0</v>
      </c>
    </row>
    <row r="290" spans="1:6" ht="12.75">
      <c r="A290" s="187"/>
      <c r="B290" s="54" t="s">
        <v>1662</v>
      </c>
      <c r="C290" s="19" t="s">
        <v>1561</v>
      </c>
      <c r="D290" s="298">
        <v>1</v>
      </c>
      <c r="E290" s="301">
        <v>460000</v>
      </c>
      <c r="F290" s="295">
        <f t="shared" si="0"/>
        <v>460000</v>
      </c>
    </row>
    <row r="291" spans="1:6" ht="12.75">
      <c r="A291" s="17"/>
      <c r="B291" s="54"/>
      <c r="C291" s="19"/>
      <c r="D291" s="298"/>
      <c r="E291" s="301"/>
      <c r="F291" s="295">
        <f t="shared" si="0"/>
        <v>0</v>
      </c>
    </row>
    <row r="292" spans="1:6" ht="12.75" customHeight="1">
      <c r="A292" s="17"/>
      <c r="B292" s="54" t="s">
        <v>1663</v>
      </c>
      <c r="C292" s="19"/>
      <c r="D292" s="298"/>
      <c r="E292" s="301"/>
      <c r="F292" s="295">
        <f t="shared" si="0"/>
        <v>0</v>
      </c>
    </row>
    <row r="293" spans="1:6" ht="12.75">
      <c r="A293" s="17"/>
      <c r="B293" s="54"/>
      <c r="C293" s="19"/>
      <c r="D293" s="298"/>
      <c r="E293" s="301"/>
      <c r="F293" s="295">
        <f t="shared" si="0"/>
        <v>0</v>
      </c>
    </row>
    <row r="294" spans="1:6" ht="12.75" customHeight="1">
      <c r="A294" s="187" t="s">
        <v>1664</v>
      </c>
      <c r="B294" s="54" t="s">
        <v>1665</v>
      </c>
      <c r="C294" s="19"/>
      <c r="D294" s="298"/>
      <c r="E294" s="301"/>
      <c r="F294" s="295">
        <f t="shared" si="0"/>
        <v>0</v>
      </c>
    </row>
    <row r="295" spans="1:6" ht="12.75">
      <c r="A295" s="17"/>
      <c r="B295" s="54" t="s">
        <v>1666</v>
      </c>
      <c r="C295" s="19" t="s">
        <v>2557</v>
      </c>
      <c r="D295" s="298">
        <v>1.5</v>
      </c>
      <c r="E295" s="301">
        <v>850</v>
      </c>
      <c r="F295" s="295">
        <f t="shared" si="0"/>
        <v>1275</v>
      </c>
    </row>
    <row r="296" spans="1:6" ht="12.75" customHeight="1">
      <c r="A296" s="17"/>
      <c r="B296" s="54"/>
      <c r="C296" s="19"/>
      <c r="D296" s="298"/>
      <c r="E296" s="301"/>
      <c r="F296" s="295">
        <f t="shared" si="0"/>
        <v>0</v>
      </c>
    </row>
    <row r="297" spans="1:6" ht="25.5">
      <c r="A297" s="17" t="s">
        <v>1667</v>
      </c>
      <c r="B297" s="54" t="s">
        <v>1668</v>
      </c>
      <c r="C297" s="19"/>
      <c r="D297" s="298"/>
      <c r="E297" s="301"/>
      <c r="F297" s="295">
        <f t="shared" si="0"/>
        <v>0</v>
      </c>
    </row>
    <row r="298" spans="1:6" ht="25.5">
      <c r="A298" s="245"/>
      <c r="B298" s="54" t="s">
        <v>1669</v>
      </c>
      <c r="C298" s="19"/>
      <c r="D298" s="298"/>
      <c r="E298" s="301"/>
      <c r="F298" s="295">
        <f t="shared" si="0"/>
        <v>0</v>
      </c>
    </row>
    <row r="299" spans="1:6" ht="25.5">
      <c r="A299" s="17"/>
      <c r="B299" s="54" t="s">
        <v>1670</v>
      </c>
      <c r="C299" s="19"/>
      <c r="D299" s="298"/>
      <c r="E299" s="301"/>
      <c r="F299" s="295">
        <f t="shared" si="0"/>
        <v>0</v>
      </c>
    </row>
    <row r="300" spans="1:6" ht="12.75">
      <c r="A300" s="17"/>
      <c r="B300" s="54" t="s">
        <v>3006</v>
      </c>
      <c r="C300" s="19" t="s">
        <v>1561</v>
      </c>
      <c r="D300" s="298">
        <v>3</v>
      </c>
      <c r="E300" s="301">
        <v>2500</v>
      </c>
      <c r="F300" s="295">
        <f t="shared" si="0"/>
        <v>7500</v>
      </c>
    </row>
    <row r="301" spans="1:6" ht="12.75">
      <c r="A301" s="17"/>
      <c r="B301" s="54"/>
      <c r="C301" s="19"/>
      <c r="D301" s="298"/>
      <c r="E301" s="301"/>
      <c r="F301" s="295">
        <f t="shared" si="0"/>
        <v>0</v>
      </c>
    </row>
    <row r="302" spans="1:6" ht="27">
      <c r="A302" s="17" t="s">
        <v>3007</v>
      </c>
      <c r="B302" s="54" t="s">
        <v>3008</v>
      </c>
      <c r="C302" s="19"/>
      <c r="D302" s="298"/>
      <c r="E302" s="301"/>
      <c r="F302" s="295">
        <f t="shared" si="0"/>
        <v>0</v>
      </c>
    </row>
    <row r="303" spans="1:6" ht="12.75">
      <c r="A303" s="187"/>
      <c r="B303" s="54" t="s">
        <v>3012</v>
      </c>
      <c r="C303" s="19"/>
      <c r="D303" s="298"/>
      <c r="E303" s="301"/>
      <c r="F303" s="295">
        <f t="shared" si="0"/>
        <v>0</v>
      </c>
    </row>
    <row r="304" spans="1:6" ht="12.75">
      <c r="A304" s="17"/>
      <c r="B304" s="54" t="s">
        <v>3013</v>
      </c>
      <c r="C304" s="19" t="s">
        <v>2557</v>
      </c>
      <c r="D304" s="298">
        <v>40</v>
      </c>
      <c r="E304" s="301">
        <v>120</v>
      </c>
      <c r="F304" s="295">
        <f t="shared" si="0"/>
        <v>4800</v>
      </c>
    </row>
    <row r="305" spans="1:6" ht="12.75" customHeight="1">
      <c r="A305" s="17"/>
      <c r="B305" s="54"/>
      <c r="C305" s="19"/>
      <c r="D305" s="298"/>
      <c r="E305" s="301"/>
      <c r="F305" s="295">
        <f t="shared" si="0"/>
        <v>0</v>
      </c>
    </row>
    <row r="306" spans="1:6" ht="12.75">
      <c r="A306" s="17"/>
      <c r="B306" s="54" t="s">
        <v>3014</v>
      </c>
      <c r="C306" s="19"/>
      <c r="D306" s="298"/>
      <c r="E306" s="301"/>
      <c r="F306" s="295">
        <f t="shared" si="0"/>
        <v>0</v>
      </c>
    </row>
    <row r="307" spans="1:6" ht="12.75">
      <c r="A307" s="17"/>
      <c r="B307" s="54"/>
      <c r="C307" s="19"/>
      <c r="D307" s="298"/>
      <c r="E307" s="301"/>
      <c r="F307" s="295">
        <f t="shared" si="0"/>
        <v>0</v>
      </c>
    </row>
    <row r="308" spans="1:6" ht="25.5">
      <c r="A308" s="17" t="s">
        <v>3015</v>
      </c>
      <c r="B308" s="54" t="s">
        <v>282</v>
      </c>
      <c r="C308" s="19"/>
      <c r="D308" s="298"/>
      <c r="E308" s="301"/>
      <c r="F308" s="295">
        <f t="shared" si="0"/>
        <v>0</v>
      </c>
    </row>
    <row r="309" spans="1:6" ht="15" customHeight="1">
      <c r="A309" s="187"/>
      <c r="B309" s="54" t="s">
        <v>283</v>
      </c>
      <c r="C309" s="19" t="s">
        <v>1561</v>
      </c>
      <c r="D309" s="298">
        <v>1</v>
      </c>
      <c r="E309" s="301">
        <v>24650</v>
      </c>
      <c r="F309" s="295">
        <f aca="true" t="shared" si="1" ref="F309:F372">D309*E309</f>
        <v>24650</v>
      </c>
    </row>
    <row r="310" spans="1:6" ht="12.75">
      <c r="A310" s="17"/>
      <c r="B310" s="54"/>
      <c r="C310" s="19"/>
      <c r="D310" s="298"/>
      <c r="E310" s="301"/>
      <c r="F310" s="295">
        <f t="shared" si="1"/>
        <v>0</v>
      </c>
    </row>
    <row r="311" spans="1:6" ht="12.75" customHeight="1">
      <c r="A311" s="17" t="s">
        <v>284</v>
      </c>
      <c r="B311" s="54" t="s">
        <v>285</v>
      </c>
      <c r="C311" s="19"/>
      <c r="D311" s="298"/>
      <c r="E311" s="301"/>
      <c r="F311" s="295">
        <f t="shared" si="1"/>
        <v>0</v>
      </c>
    </row>
    <row r="312" spans="1:6" ht="12.75">
      <c r="A312" s="17"/>
      <c r="B312" s="54" t="s">
        <v>286</v>
      </c>
      <c r="C312" s="19" t="s">
        <v>1561</v>
      </c>
      <c r="D312" s="298">
        <v>1</v>
      </c>
      <c r="E312" s="301">
        <v>6500</v>
      </c>
      <c r="F312" s="295">
        <f t="shared" si="1"/>
        <v>6500</v>
      </c>
    </row>
    <row r="313" spans="1:6" ht="12.75" customHeight="1">
      <c r="A313" s="187"/>
      <c r="B313" s="54"/>
      <c r="C313" s="19"/>
      <c r="D313" s="298"/>
      <c r="E313" s="301"/>
      <c r="F313" s="295">
        <f t="shared" si="1"/>
        <v>0</v>
      </c>
    </row>
    <row r="314" spans="1:6" ht="27">
      <c r="A314" s="17" t="s">
        <v>287</v>
      </c>
      <c r="B314" s="54" t="s">
        <v>288</v>
      </c>
      <c r="C314" s="19"/>
      <c r="D314" s="298"/>
      <c r="E314" s="301"/>
      <c r="F314" s="295">
        <f t="shared" si="1"/>
        <v>0</v>
      </c>
    </row>
    <row r="315" spans="1:6" ht="12.75" customHeight="1">
      <c r="A315" s="17"/>
      <c r="B315" s="54" t="s">
        <v>289</v>
      </c>
      <c r="C315" s="19"/>
      <c r="D315" s="298"/>
      <c r="E315" s="301"/>
      <c r="F315" s="295">
        <f t="shared" si="1"/>
        <v>0</v>
      </c>
    </row>
    <row r="316" spans="1:6" ht="12.75">
      <c r="A316" s="17"/>
      <c r="B316" s="54" t="s">
        <v>1938</v>
      </c>
      <c r="C316" s="19" t="s">
        <v>2557</v>
      </c>
      <c r="D316" s="298">
        <v>35</v>
      </c>
      <c r="E316" s="301">
        <v>140</v>
      </c>
      <c r="F316" s="295">
        <f t="shared" si="1"/>
        <v>4900</v>
      </c>
    </row>
    <row r="317" spans="1:6" ht="12.75">
      <c r="A317" s="245"/>
      <c r="B317" s="54"/>
      <c r="C317" s="19"/>
      <c r="D317" s="298"/>
      <c r="E317" s="301"/>
      <c r="F317" s="295">
        <f t="shared" si="1"/>
        <v>0</v>
      </c>
    </row>
    <row r="318" spans="1:6" ht="25.5">
      <c r="A318" s="17" t="s">
        <v>1939</v>
      </c>
      <c r="B318" s="54" t="s">
        <v>1940</v>
      </c>
      <c r="C318" s="19" t="s">
        <v>1561</v>
      </c>
      <c r="D318" s="298">
        <v>1</v>
      </c>
      <c r="E318" s="301"/>
      <c r="F318" s="295">
        <f t="shared" si="1"/>
        <v>0</v>
      </c>
    </row>
    <row r="319" spans="1:6" ht="12.75">
      <c r="A319" s="17"/>
      <c r="B319" s="54"/>
      <c r="C319" s="19"/>
      <c r="D319" s="298"/>
      <c r="E319" s="301"/>
      <c r="F319" s="295">
        <f t="shared" si="1"/>
        <v>0</v>
      </c>
    </row>
    <row r="320" spans="1:6" ht="12.75">
      <c r="A320" s="17" t="s">
        <v>1941</v>
      </c>
      <c r="B320" s="54" t="s">
        <v>2426</v>
      </c>
      <c r="C320" s="19"/>
      <c r="D320" s="298"/>
      <c r="E320" s="301"/>
      <c r="F320" s="295">
        <f t="shared" si="1"/>
        <v>0</v>
      </c>
    </row>
    <row r="321" spans="1:6" ht="12.75">
      <c r="A321" s="17"/>
      <c r="B321" s="54" t="s">
        <v>2427</v>
      </c>
      <c r="C321" s="19"/>
      <c r="D321" s="298"/>
      <c r="E321" s="301"/>
      <c r="F321" s="295">
        <f t="shared" si="1"/>
        <v>0</v>
      </c>
    </row>
    <row r="322" spans="1:6" ht="12.75">
      <c r="A322" s="187"/>
      <c r="B322" s="54" t="s">
        <v>2428</v>
      </c>
      <c r="C322" s="19" t="s">
        <v>1561</v>
      </c>
      <c r="D322" s="298">
        <v>4</v>
      </c>
      <c r="E322" s="301">
        <v>650</v>
      </c>
      <c r="F322" s="295">
        <f t="shared" si="1"/>
        <v>2600</v>
      </c>
    </row>
    <row r="323" spans="1:6" ht="12.75">
      <c r="A323" s="17"/>
      <c r="B323" s="54"/>
      <c r="C323" s="19"/>
      <c r="D323" s="298"/>
      <c r="E323" s="301"/>
      <c r="F323" s="295">
        <f t="shared" si="1"/>
        <v>0</v>
      </c>
    </row>
    <row r="324" spans="1:6" ht="12.75" customHeight="1">
      <c r="A324" s="17" t="s">
        <v>2429</v>
      </c>
      <c r="B324" s="54" t="s">
        <v>2430</v>
      </c>
      <c r="C324" s="19"/>
      <c r="D324" s="298"/>
      <c r="E324" s="301"/>
      <c r="F324" s="295">
        <f t="shared" si="1"/>
        <v>0</v>
      </c>
    </row>
    <row r="325" spans="1:6" ht="12.75">
      <c r="A325" s="17"/>
      <c r="B325" s="54" t="s">
        <v>2879</v>
      </c>
      <c r="C325" s="19" t="s">
        <v>1561</v>
      </c>
      <c r="D325" s="298">
        <v>1</v>
      </c>
      <c r="E325" s="301">
        <v>1250</v>
      </c>
      <c r="F325" s="295">
        <f t="shared" si="1"/>
        <v>1250</v>
      </c>
    </row>
    <row r="326" spans="1:6" ht="12.75" customHeight="1">
      <c r="A326" s="187"/>
      <c r="B326" s="54"/>
      <c r="C326" s="19"/>
      <c r="D326" s="298"/>
      <c r="E326" s="301"/>
      <c r="F326" s="295">
        <f t="shared" si="1"/>
        <v>0</v>
      </c>
    </row>
    <row r="327" spans="1:6" ht="12.75">
      <c r="A327" s="17"/>
      <c r="B327" s="54" t="s">
        <v>2880</v>
      </c>
      <c r="C327" s="19"/>
      <c r="D327" s="298"/>
      <c r="E327" s="301"/>
      <c r="F327" s="295">
        <f t="shared" si="1"/>
        <v>0</v>
      </c>
    </row>
    <row r="328" spans="1:6" ht="12.75" customHeight="1">
      <c r="A328" s="17"/>
      <c r="B328" s="54"/>
      <c r="C328" s="19"/>
      <c r="D328" s="298"/>
      <c r="E328" s="301"/>
      <c r="F328" s="295">
        <f t="shared" si="1"/>
        <v>0</v>
      </c>
    </row>
    <row r="329" spans="1:6" ht="12.75">
      <c r="A329" s="17" t="s">
        <v>55</v>
      </c>
      <c r="B329" s="54" t="s">
        <v>56</v>
      </c>
      <c r="C329" s="19"/>
      <c r="D329" s="298"/>
      <c r="E329" s="301"/>
      <c r="F329" s="295">
        <f t="shared" si="1"/>
        <v>0</v>
      </c>
    </row>
    <row r="330" spans="1:6" ht="12.75">
      <c r="A330" s="245"/>
      <c r="B330" s="54" t="s">
        <v>2500</v>
      </c>
      <c r="C330" s="19"/>
      <c r="D330" s="298"/>
      <c r="E330" s="301"/>
      <c r="F330" s="295">
        <f t="shared" si="1"/>
        <v>0</v>
      </c>
    </row>
    <row r="331" spans="1:6" ht="12.75">
      <c r="A331" s="17"/>
      <c r="B331" s="54" t="s">
        <v>2501</v>
      </c>
      <c r="C331" s="19" t="s">
        <v>1561</v>
      </c>
      <c r="D331" s="298">
        <v>11</v>
      </c>
      <c r="E331" s="301">
        <v>2100</v>
      </c>
      <c r="F331" s="295">
        <f t="shared" si="1"/>
        <v>23100</v>
      </c>
    </row>
    <row r="332" spans="1:6" ht="12.75">
      <c r="A332" s="17"/>
      <c r="B332" s="54"/>
      <c r="C332" s="19"/>
      <c r="D332" s="298"/>
      <c r="E332" s="301"/>
      <c r="F332" s="295">
        <f t="shared" si="1"/>
        <v>0</v>
      </c>
    </row>
    <row r="333" spans="1:6" ht="12.75">
      <c r="A333" s="17" t="s">
        <v>2502</v>
      </c>
      <c r="B333" s="54" t="s">
        <v>2503</v>
      </c>
      <c r="C333" s="19"/>
      <c r="D333" s="298"/>
      <c r="E333" s="301"/>
      <c r="F333" s="295">
        <f t="shared" si="1"/>
        <v>0</v>
      </c>
    </row>
    <row r="334" spans="1:6" ht="25.5">
      <c r="A334" s="17"/>
      <c r="B334" s="54" t="s">
        <v>2504</v>
      </c>
      <c r="C334" s="19"/>
      <c r="D334" s="298"/>
      <c r="E334" s="301"/>
      <c r="F334" s="295">
        <f t="shared" si="1"/>
        <v>0</v>
      </c>
    </row>
    <row r="335" spans="1:6" ht="12.75">
      <c r="A335" s="187"/>
      <c r="B335" s="54" t="s">
        <v>2505</v>
      </c>
      <c r="C335" s="19" t="s">
        <v>1561</v>
      </c>
      <c r="D335" s="298">
        <v>5</v>
      </c>
      <c r="E335" s="301">
        <v>2200</v>
      </c>
      <c r="F335" s="295">
        <f t="shared" si="1"/>
        <v>11000</v>
      </c>
    </row>
    <row r="336" spans="1:6" ht="12.75">
      <c r="A336" s="17"/>
      <c r="B336" s="54"/>
      <c r="C336" s="19"/>
      <c r="D336" s="298"/>
      <c r="E336" s="301"/>
      <c r="F336" s="295">
        <f t="shared" si="1"/>
        <v>0</v>
      </c>
    </row>
    <row r="337" spans="1:6" ht="12.75" customHeight="1">
      <c r="A337" s="17" t="s">
        <v>2506</v>
      </c>
      <c r="B337" s="54" t="s">
        <v>2507</v>
      </c>
      <c r="C337" s="19"/>
      <c r="D337" s="298"/>
      <c r="E337" s="301"/>
      <c r="F337" s="295">
        <f t="shared" si="1"/>
        <v>0</v>
      </c>
    </row>
    <row r="338" spans="1:6" ht="16.5" customHeight="1">
      <c r="A338" s="17"/>
      <c r="B338" s="54" t="s">
        <v>2508</v>
      </c>
      <c r="C338" s="19"/>
      <c r="D338" s="298"/>
      <c r="E338" s="301"/>
      <c r="F338" s="295">
        <f t="shared" si="1"/>
        <v>0</v>
      </c>
    </row>
    <row r="339" spans="1:6" ht="12.75" customHeight="1">
      <c r="A339" s="187"/>
      <c r="B339" s="54" t="s">
        <v>2509</v>
      </c>
      <c r="C339" s="19"/>
      <c r="D339" s="298"/>
      <c r="E339" s="301"/>
      <c r="F339" s="295">
        <f t="shared" si="1"/>
        <v>0</v>
      </c>
    </row>
    <row r="340" spans="1:6" ht="12.75">
      <c r="A340" s="17"/>
      <c r="B340" s="54" t="s">
        <v>2510</v>
      </c>
      <c r="C340" s="19" t="s">
        <v>1561</v>
      </c>
      <c r="D340" s="298">
        <v>5</v>
      </c>
      <c r="E340" s="301">
        <v>5200</v>
      </c>
      <c r="F340" s="295">
        <f t="shared" si="1"/>
        <v>26000</v>
      </c>
    </row>
    <row r="341" spans="1:6" ht="12.75" customHeight="1">
      <c r="A341" s="17"/>
      <c r="B341" s="54"/>
      <c r="C341" s="19"/>
      <c r="D341" s="298"/>
      <c r="E341" s="301"/>
      <c r="F341" s="295">
        <f t="shared" si="1"/>
        <v>0</v>
      </c>
    </row>
    <row r="342" spans="1:6" ht="12.75">
      <c r="A342" s="17" t="s">
        <v>2511</v>
      </c>
      <c r="B342" s="54" t="s">
        <v>2512</v>
      </c>
      <c r="C342" s="19"/>
      <c r="D342" s="298"/>
      <c r="E342" s="301"/>
      <c r="F342" s="295">
        <f t="shared" si="1"/>
        <v>0</v>
      </c>
    </row>
    <row r="343" spans="1:6" ht="14.25" customHeight="1">
      <c r="A343" s="245"/>
      <c r="B343" s="54" t="s">
        <v>2513</v>
      </c>
      <c r="C343" s="19"/>
      <c r="D343" s="298"/>
      <c r="E343" s="301"/>
      <c r="F343" s="295">
        <f t="shared" si="1"/>
        <v>0</v>
      </c>
    </row>
    <row r="344" spans="1:6" ht="25.5">
      <c r="A344" s="17"/>
      <c r="B344" s="54" t="s">
        <v>2514</v>
      </c>
      <c r="C344" s="19" t="s">
        <v>1561</v>
      </c>
      <c r="D344" s="298">
        <v>1</v>
      </c>
      <c r="E344" s="301">
        <v>2200</v>
      </c>
      <c r="F344" s="295">
        <f t="shared" si="1"/>
        <v>2200</v>
      </c>
    </row>
    <row r="345" spans="1:6" ht="12.75">
      <c r="A345" s="17"/>
      <c r="B345" s="54"/>
      <c r="C345" s="19"/>
      <c r="D345" s="298"/>
      <c r="E345" s="301"/>
      <c r="F345" s="295">
        <f t="shared" si="1"/>
        <v>0</v>
      </c>
    </row>
    <row r="346" spans="1:6" ht="25.5">
      <c r="A346" s="17" t="s">
        <v>2515</v>
      </c>
      <c r="B346" s="54" t="s">
        <v>2516</v>
      </c>
      <c r="C346" s="19"/>
      <c r="D346" s="298"/>
      <c r="E346" s="301"/>
      <c r="F346" s="295">
        <f t="shared" si="1"/>
        <v>0</v>
      </c>
    </row>
    <row r="347" spans="1:6" ht="12.75" customHeight="1">
      <c r="A347" s="17"/>
      <c r="B347" s="54" t="s">
        <v>2517</v>
      </c>
      <c r="C347" s="19"/>
      <c r="D347" s="298"/>
      <c r="E347" s="301"/>
      <c r="F347" s="295">
        <f t="shared" si="1"/>
        <v>0</v>
      </c>
    </row>
    <row r="348" spans="1:6" ht="25.5">
      <c r="A348" s="17"/>
      <c r="B348" s="54" t="s">
        <v>2518</v>
      </c>
      <c r="C348" s="19"/>
      <c r="D348" s="298"/>
      <c r="E348" s="301"/>
      <c r="F348" s="295">
        <f t="shared" si="1"/>
        <v>0</v>
      </c>
    </row>
    <row r="349" spans="1:6" ht="12.75">
      <c r="A349" s="245"/>
      <c r="B349" s="54" t="s">
        <v>2510</v>
      </c>
      <c r="C349" s="19" t="s">
        <v>1561</v>
      </c>
      <c r="D349" s="298">
        <v>1</v>
      </c>
      <c r="E349" s="301">
        <v>5200</v>
      </c>
      <c r="F349" s="295">
        <f t="shared" si="1"/>
        <v>5200</v>
      </c>
    </row>
    <row r="350" spans="1:6" ht="12.75">
      <c r="A350" s="17"/>
      <c r="B350" s="54"/>
      <c r="C350" s="19"/>
      <c r="D350" s="298"/>
      <c r="E350" s="301"/>
      <c r="F350" s="295">
        <f t="shared" si="1"/>
        <v>0</v>
      </c>
    </row>
    <row r="351" spans="1:6" ht="25.5">
      <c r="A351" s="17" t="s">
        <v>2519</v>
      </c>
      <c r="B351" s="54" t="s">
        <v>2520</v>
      </c>
      <c r="C351" s="19"/>
      <c r="D351" s="298"/>
      <c r="E351" s="301"/>
      <c r="F351" s="295">
        <f t="shared" si="1"/>
        <v>0</v>
      </c>
    </row>
    <row r="352" spans="1:6" ht="12.75">
      <c r="A352" s="17"/>
      <c r="B352" s="54" t="s">
        <v>2521</v>
      </c>
      <c r="C352" s="19" t="s">
        <v>1561</v>
      </c>
      <c r="D352" s="298">
        <v>2</v>
      </c>
      <c r="E352" s="301">
        <v>9000</v>
      </c>
      <c r="F352" s="295">
        <f t="shared" si="1"/>
        <v>18000</v>
      </c>
    </row>
    <row r="353" spans="1:6" ht="12.75">
      <c r="A353" s="17"/>
      <c r="B353" s="54"/>
      <c r="C353" s="19"/>
      <c r="D353" s="298"/>
      <c r="E353" s="301"/>
      <c r="F353" s="295">
        <f t="shared" si="1"/>
        <v>0</v>
      </c>
    </row>
    <row r="354" spans="1:6" ht="25.5">
      <c r="A354" s="187" t="s">
        <v>2522</v>
      </c>
      <c r="B354" s="54" t="s">
        <v>2523</v>
      </c>
      <c r="C354" s="19"/>
      <c r="D354" s="298"/>
      <c r="E354" s="301"/>
      <c r="F354" s="295">
        <f t="shared" si="1"/>
        <v>0</v>
      </c>
    </row>
    <row r="355" spans="1:6" ht="15" customHeight="1">
      <c r="A355" s="17"/>
      <c r="B355" s="54" t="s">
        <v>2524</v>
      </c>
      <c r="C355" s="19"/>
      <c r="D355" s="298"/>
      <c r="E355" s="301"/>
      <c r="F355" s="295">
        <f t="shared" si="1"/>
        <v>0</v>
      </c>
    </row>
    <row r="356" spans="1:6" ht="12.75" customHeight="1">
      <c r="A356" s="17"/>
      <c r="B356" s="54" t="s">
        <v>2509</v>
      </c>
      <c r="C356" s="19"/>
      <c r="D356" s="298"/>
      <c r="E356" s="301"/>
      <c r="F356" s="295">
        <f t="shared" si="1"/>
        <v>0</v>
      </c>
    </row>
    <row r="357" spans="1:6" ht="12.75">
      <c r="A357" s="17"/>
      <c r="B357" s="54" t="s">
        <v>2510</v>
      </c>
      <c r="C357" s="19" t="s">
        <v>1561</v>
      </c>
      <c r="D357" s="298">
        <v>2</v>
      </c>
      <c r="E357" s="301">
        <v>5200</v>
      </c>
      <c r="F357" s="295">
        <f t="shared" si="1"/>
        <v>10400</v>
      </c>
    </row>
    <row r="358" spans="1:6" ht="12.75" customHeight="1">
      <c r="A358" s="187"/>
      <c r="B358" s="54"/>
      <c r="C358" s="19"/>
      <c r="D358" s="298"/>
      <c r="E358" s="301"/>
      <c r="F358" s="295">
        <f t="shared" si="1"/>
        <v>0</v>
      </c>
    </row>
    <row r="359" spans="1:6" ht="12.75">
      <c r="A359" s="17"/>
      <c r="B359" s="54" t="s">
        <v>2525</v>
      </c>
      <c r="C359" s="19"/>
      <c r="D359" s="298"/>
      <c r="E359" s="301"/>
      <c r="F359" s="295">
        <f t="shared" si="1"/>
        <v>0</v>
      </c>
    </row>
    <row r="360" spans="1:6" ht="12.75" customHeight="1">
      <c r="A360" s="17"/>
      <c r="B360" s="54"/>
      <c r="C360" s="19"/>
      <c r="D360" s="298"/>
      <c r="E360" s="301"/>
      <c r="F360" s="295">
        <f t="shared" si="1"/>
        <v>0</v>
      </c>
    </row>
    <row r="361" spans="1:6" ht="25.5">
      <c r="A361" s="17"/>
      <c r="B361" s="54" t="s">
        <v>2526</v>
      </c>
      <c r="C361" s="19"/>
      <c r="D361" s="298"/>
      <c r="E361" s="301"/>
      <c r="F361" s="295">
        <f t="shared" si="1"/>
        <v>0</v>
      </c>
    </row>
    <row r="362" spans="1:6" ht="25.5">
      <c r="A362" s="245"/>
      <c r="B362" s="54" t="s">
        <v>2527</v>
      </c>
      <c r="C362" s="19"/>
      <c r="D362" s="298"/>
      <c r="E362" s="301"/>
      <c r="F362" s="295">
        <f t="shared" si="1"/>
        <v>0</v>
      </c>
    </row>
    <row r="363" spans="1:6" ht="12.75">
      <c r="A363" s="17"/>
      <c r="B363" s="54"/>
      <c r="C363" s="19"/>
      <c r="D363" s="298"/>
      <c r="E363" s="301"/>
      <c r="F363" s="295">
        <f t="shared" si="1"/>
        <v>0</v>
      </c>
    </row>
    <row r="364" spans="1:6" ht="27">
      <c r="A364" s="17" t="s">
        <v>2528</v>
      </c>
      <c r="B364" s="54" t="s">
        <v>5</v>
      </c>
      <c r="C364" s="19"/>
      <c r="D364" s="298"/>
      <c r="E364" s="301"/>
      <c r="F364" s="295">
        <f t="shared" si="1"/>
        <v>0</v>
      </c>
    </row>
    <row r="365" spans="1:6" ht="12.75">
      <c r="A365" s="17"/>
      <c r="B365" s="54" t="s">
        <v>6</v>
      </c>
      <c r="C365" s="19" t="s">
        <v>2557</v>
      </c>
      <c r="D365" s="298">
        <v>30</v>
      </c>
      <c r="E365" s="301">
        <v>920</v>
      </c>
      <c r="F365" s="295">
        <f t="shared" si="1"/>
        <v>27600</v>
      </c>
    </row>
    <row r="366" spans="1:6" ht="12.75">
      <c r="A366" s="17"/>
      <c r="B366" s="54"/>
      <c r="C366" s="19"/>
      <c r="D366" s="298"/>
      <c r="E366" s="301"/>
      <c r="F366" s="295">
        <f t="shared" si="1"/>
        <v>0</v>
      </c>
    </row>
    <row r="367" spans="1:6" ht="14.25">
      <c r="A367" s="187" t="s">
        <v>7</v>
      </c>
      <c r="B367" s="54" t="s">
        <v>8</v>
      </c>
      <c r="C367" s="19" t="s">
        <v>2557</v>
      </c>
      <c r="D367" s="298">
        <v>12</v>
      </c>
      <c r="E367" s="301">
        <v>920</v>
      </c>
      <c r="F367" s="295">
        <f t="shared" si="1"/>
        <v>11040</v>
      </c>
    </row>
    <row r="368" spans="1:6" ht="12.75">
      <c r="A368" s="17"/>
      <c r="B368" s="54"/>
      <c r="C368" s="19"/>
      <c r="D368" s="298"/>
      <c r="E368" s="301"/>
      <c r="F368" s="295">
        <f t="shared" si="1"/>
        <v>0</v>
      </c>
    </row>
    <row r="369" spans="1:6" ht="12.75" customHeight="1">
      <c r="A369" s="17" t="s">
        <v>9</v>
      </c>
      <c r="B369" s="54" t="s">
        <v>10</v>
      </c>
      <c r="C369" s="19" t="s">
        <v>2557</v>
      </c>
      <c r="D369" s="298">
        <v>110</v>
      </c>
      <c r="E369" s="301">
        <v>450</v>
      </c>
      <c r="F369" s="295">
        <f t="shared" si="1"/>
        <v>49500</v>
      </c>
    </row>
    <row r="370" spans="1:6" ht="12.75">
      <c r="A370" s="17"/>
      <c r="B370" s="54"/>
      <c r="C370" s="19"/>
      <c r="D370" s="298"/>
      <c r="E370" s="301"/>
      <c r="F370" s="295">
        <f t="shared" si="1"/>
        <v>0</v>
      </c>
    </row>
    <row r="371" spans="1:6" ht="12.75" customHeight="1">
      <c r="A371" s="187" t="s">
        <v>11</v>
      </c>
      <c r="B371" s="54" t="s">
        <v>1093</v>
      </c>
      <c r="C371" s="19" t="s">
        <v>2557</v>
      </c>
      <c r="D371" s="298">
        <v>75</v>
      </c>
      <c r="E371" s="301">
        <v>540</v>
      </c>
      <c r="F371" s="295">
        <f t="shared" si="1"/>
        <v>40500</v>
      </c>
    </row>
    <row r="372" spans="1:6" ht="12.75">
      <c r="A372" s="17"/>
      <c r="B372" s="54"/>
      <c r="C372" s="19"/>
      <c r="D372" s="298"/>
      <c r="E372" s="301"/>
      <c r="F372" s="295">
        <f t="shared" si="1"/>
        <v>0</v>
      </c>
    </row>
    <row r="373" spans="1:6" ht="12.75" customHeight="1">
      <c r="A373" s="17" t="s">
        <v>1094</v>
      </c>
      <c r="B373" s="54" t="s">
        <v>123</v>
      </c>
      <c r="C373" s="19" t="s">
        <v>2557</v>
      </c>
      <c r="D373" s="298">
        <v>65</v>
      </c>
      <c r="E373" s="301">
        <v>920</v>
      </c>
      <c r="F373" s="295">
        <f aca="true" t="shared" si="2" ref="F373:F436">D373*E373</f>
        <v>59800</v>
      </c>
    </row>
    <row r="374" spans="1:6" ht="12.75">
      <c r="A374" s="17"/>
      <c r="B374" s="54"/>
      <c r="C374" s="19"/>
      <c r="D374" s="298"/>
      <c r="E374" s="301"/>
      <c r="F374" s="295">
        <f t="shared" si="2"/>
        <v>0</v>
      </c>
    </row>
    <row r="375" spans="1:6" ht="14.25">
      <c r="A375" s="245" t="s">
        <v>124</v>
      </c>
      <c r="B375" s="54" t="s">
        <v>125</v>
      </c>
      <c r="C375" s="19" t="s">
        <v>2557</v>
      </c>
      <c r="D375" s="298">
        <v>6</v>
      </c>
      <c r="E375" s="301">
        <v>36</v>
      </c>
      <c r="F375" s="295">
        <f t="shared" si="2"/>
        <v>216</v>
      </c>
    </row>
    <row r="376" spans="1:6" ht="12.75">
      <c r="A376" s="17"/>
      <c r="B376" s="54"/>
      <c r="C376" s="19"/>
      <c r="D376" s="298"/>
      <c r="E376" s="301"/>
      <c r="F376" s="295">
        <f t="shared" si="2"/>
        <v>0</v>
      </c>
    </row>
    <row r="377" spans="1:6" ht="14.25">
      <c r="A377" s="17" t="s">
        <v>126</v>
      </c>
      <c r="B377" s="54" t="s">
        <v>127</v>
      </c>
      <c r="C377" s="19" t="s">
        <v>2557</v>
      </c>
      <c r="D377" s="298">
        <v>30</v>
      </c>
      <c r="E377" s="301">
        <v>36</v>
      </c>
      <c r="F377" s="295">
        <f t="shared" si="2"/>
        <v>1080</v>
      </c>
    </row>
    <row r="378" spans="1:6" ht="12.75">
      <c r="A378" s="17"/>
      <c r="B378" s="54"/>
      <c r="C378" s="19"/>
      <c r="D378" s="298"/>
      <c r="E378" s="301"/>
      <c r="F378" s="295">
        <f t="shared" si="2"/>
        <v>0</v>
      </c>
    </row>
    <row r="379" spans="1:6" ht="27">
      <c r="A379" s="17" t="s">
        <v>128</v>
      </c>
      <c r="B379" s="54" t="s">
        <v>129</v>
      </c>
      <c r="C379" s="19" t="s">
        <v>2557</v>
      </c>
      <c r="D379" s="298">
        <v>20</v>
      </c>
      <c r="E379" s="301">
        <v>28</v>
      </c>
      <c r="F379" s="295">
        <f t="shared" si="2"/>
        <v>560</v>
      </c>
    </row>
    <row r="380" spans="1:6" ht="12.75">
      <c r="A380" s="187"/>
      <c r="B380" s="54"/>
      <c r="C380" s="19"/>
      <c r="D380" s="298"/>
      <c r="E380" s="301"/>
      <c r="F380" s="295">
        <f t="shared" si="2"/>
        <v>0</v>
      </c>
    </row>
    <row r="381" spans="1:6" s="60" customFormat="1" ht="18.75" customHeight="1">
      <c r="A381" s="17" t="s">
        <v>130</v>
      </c>
      <c r="B381" s="54" t="s">
        <v>131</v>
      </c>
      <c r="C381" s="17" t="s">
        <v>2557</v>
      </c>
      <c r="D381" s="376">
        <v>220</v>
      </c>
      <c r="E381" s="391">
        <v>22</v>
      </c>
      <c r="F381" s="295">
        <f t="shared" si="2"/>
        <v>4840</v>
      </c>
    </row>
    <row r="382" spans="1:6" ht="8.25" customHeight="1">
      <c r="A382" s="17"/>
      <c r="B382" s="54"/>
      <c r="C382" s="19"/>
      <c r="D382" s="298"/>
      <c r="E382" s="301"/>
      <c r="F382" s="295">
        <f t="shared" si="2"/>
        <v>0</v>
      </c>
    </row>
    <row r="383" spans="1:6" ht="27">
      <c r="A383" s="17" t="s">
        <v>132</v>
      </c>
      <c r="B383" s="54" t="s">
        <v>133</v>
      </c>
      <c r="C383" s="19" t="s">
        <v>2557</v>
      </c>
      <c r="D383" s="298">
        <v>95</v>
      </c>
      <c r="E383" s="301">
        <v>34</v>
      </c>
      <c r="F383" s="295">
        <f t="shared" si="2"/>
        <v>3230</v>
      </c>
    </row>
    <row r="384" spans="1:6" ht="8.25" customHeight="1">
      <c r="A384" s="187"/>
      <c r="B384" s="54"/>
      <c r="C384" s="19"/>
      <c r="D384" s="298"/>
      <c r="E384" s="301"/>
      <c r="F384" s="295">
        <f t="shared" si="2"/>
        <v>0</v>
      </c>
    </row>
    <row r="385" spans="1:6" s="60" customFormat="1" ht="18.75" customHeight="1">
      <c r="A385" s="17" t="s">
        <v>134</v>
      </c>
      <c r="B385" s="54" t="s">
        <v>2700</v>
      </c>
      <c r="C385" s="17" t="s">
        <v>2557</v>
      </c>
      <c r="D385" s="376">
        <v>100</v>
      </c>
      <c r="E385" s="391">
        <v>22</v>
      </c>
      <c r="F385" s="295">
        <f t="shared" si="2"/>
        <v>2200</v>
      </c>
    </row>
    <row r="386" spans="1:6" ht="12.75" customHeight="1">
      <c r="A386" s="17"/>
      <c r="B386" s="54"/>
      <c r="C386" s="19"/>
      <c r="D386" s="298"/>
      <c r="E386" s="301"/>
      <c r="F386" s="295">
        <f t="shared" si="2"/>
        <v>0</v>
      </c>
    </row>
    <row r="387" spans="1:6" ht="12.75">
      <c r="A387" s="17"/>
      <c r="B387" s="54" t="s">
        <v>2701</v>
      </c>
      <c r="C387" s="19"/>
      <c r="D387" s="298"/>
      <c r="E387" s="301"/>
      <c r="F387" s="295">
        <f t="shared" si="2"/>
        <v>0</v>
      </c>
    </row>
    <row r="388" spans="1:6" ht="12.75">
      <c r="A388" s="17"/>
      <c r="B388" s="54"/>
      <c r="C388" s="19"/>
      <c r="D388" s="298"/>
      <c r="E388" s="301"/>
      <c r="F388" s="295">
        <f t="shared" si="2"/>
        <v>0</v>
      </c>
    </row>
    <row r="389" spans="1:6" ht="12.75">
      <c r="A389" s="187" t="s">
        <v>2447</v>
      </c>
      <c r="B389" s="54" t="s">
        <v>2448</v>
      </c>
      <c r="C389" s="19"/>
      <c r="D389" s="298"/>
      <c r="E389" s="301"/>
      <c r="F389" s="295">
        <f t="shared" si="2"/>
        <v>0</v>
      </c>
    </row>
    <row r="390" spans="1:6" ht="12.75">
      <c r="A390" s="17"/>
      <c r="B390" s="54" t="s">
        <v>2449</v>
      </c>
      <c r="C390" s="19" t="s">
        <v>2557</v>
      </c>
      <c r="D390" s="298">
        <v>220</v>
      </c>
      <c r="E390" s="301">
        <v>80</v>
      </c>
      <c r="F390" s="295">
        <f t="shared" si="2"/>
        <v>17600</v>
      </c>
    </row>
    <row r="391" spans="1:6" ht="12.75" customHeight="1">
      <c r="A391" s="17"/>
      <c r="B391" s="54"/>
      <c r="C391" s="19"/>
      <c r="D391" s="298"/>
      <c r="E391" s="301"/>
      <c r="F391" s="295">
        <f t="shared" si="2"/>
        <v>0</v>
      </c>
    </row>
    <row r="392" spans="1:6" ht="12.75">
      <c r="A392" s="17" t="s">
        <v>2450</v>
      </c>
      <c r="B392" s="54" t="s">
        <v>2451</v>
      </c>
      <c r="C392" s="19"/>
      <c r="D392" s="298"/>
      <c r="E392" s="301"/>
      <c r="F392" s="295">
        <f t="shared" si="2"/>
        <v>0</v>
      </c>
    </row>
    <row r="393" spans="1:6" ht="12.75" customHeight="1">
      <c r="A393" s="187"/>
      <c r="B393" s="54" t="s">
        <v>2449</v>
      </c>
      <c r="C393" s="19" t="s">
        <v>2557</v>
      </c>
      <c r="D393" s="298">
        <v>50</v>
      </c>
      <c r="E393" s="301">
        <v>60</v>
      </c>
      <c r="F393" s="295">
        <f t="shared" si="2"/>
        <v>3000</v>
      </c>
    </row>
    <row r="394" spans="1:6" ht="12.75">
      <c r="A394" s="17"/>
      <c r="B394" s="54"/>
      <c r="C394" s="19"/>
      <c r="D394" s="298"/>
      <c r="E394" s="301"/>
      <c r="F394" s="295">
        <f t="shared" si="2"/>
        <v>0</v>
      </c>
    </row>
    <row r="395" spans="1:6" ht="12.75" customHeight="1">
      <c r="A395" s="17" t="s">
        <v>2452</v>
      </c>
      <c r="B395" s="54" t="s">
        <v>2453</v>
      </c>
      <c r="C395" s="19"/>
      <c r="D395" s="298"/>
      <c r="E395" s="301"/>
      <c r="F395" s="295">
        <f t="shared" si="2"/>
        <v>0</v>
      </c>
    </row>
    <row r="396" spans="1:6" ht="12.75">
      <c r="A396" s="17"/>
      <c r="B396" s="54" t="s">
        <v>2449</v>
      </c>
      <c r="C396" s="19" t="s">
        <v>2557</v>
      </c>
      <c r="D396" s="298">
        <v>150</v>
      </c>
      <c r="E396" s="301">
        <v>40</v>
      </c>
      <c r="F396" s="295">
        <f t="shared" si="2"/>
        <v>6000</v>
      </c>
    </row>
    <row r="397" spans="1:6" ht="12.75">
      <c r="A397" s="245"/>
      <c r="B397" s="54"/>
      <c r="C397" s="19"/>
      <c r="D397" s="298"/>
      <c r="E397" s="301"/>
      <c r="F397" s="295">
        <f t="shared" si="2"/>
        <v>0</v>
      </c>
    </row>
    <row r="398" spans="1:6" ht="12.75">
      <c r="A398" s="17" t="s">
        <v>2454</v>
      </c>
      <c r="B398" s="54" t="s">
        <v>2455</v>
      </c>
      <c r="C398" s="19"/>
      <c r="D398" s="298"/>
      <c r="E398" s="301"/>
      <c r="F398" s="295">
        <f t="shared" si="2"/>
        <v>0</v>
      </c>
    </row>
    <row r="399" spans="1:6" ht="12.75">
      <c r="A399" s="17"/>
      <c r="B399" s="54" t="s">
        <v>2449</v>
      </c>
      <c r="C399" s="19" t="s">
        <v>2557</v>
      </c>
      <c r="D399" s="298">
        <v>360</v>
      </c>
      <c r="E399" s="301">
        <v>30</v>
      </c>
      <c r="F399" s="295">
        <f t="shared" si="2"/>
        <v>10800</v>
      </c>
    </row>
    <row r="400" spans="1:6" ht="12.75">
      <c r="A400" s="17"/>
      <c r="B400" s="54"/>
      <c r="C400" s="19"/>
      <c r="D400" s="298"/>
      <c r="E400" s="301"/>
      <c r="F400" s="295">
        <f t="shared" si="2"/>
        <v>0</v>
      </c>
    </row>
    <row r="401" spans="1:6" ht="12.75">
      <c r="A401" s="17" t="s">
        <v>2456</v>
      </c>
      <c r="B401" s="54" t="s">
        <v>2457</v>
      </c>
      <c r="C401" s="19" t="s">
        <v>1561</v>
      </c>
      <c r="D401" s="298">
        <v>8</v>
      </c>
      <c r="E401" s="301">
        <v>1600</v>
      </c>
      <c r="F401" s="295">
        <f t="shared" si="2"/>
        <v>12800</v>
      </c>
    </row>
    <row r="402" spans="1:6" ht="12.75">
      <c r="A402" s="187"/>
      <c r="B402" s="54"/>
      <c r="C402" s="19"/>
      <c r="D402" s="298"/>
      <c r="E402" s="301"/>
      <c r="F402" s="295">
        <f t="shared" si="2"/>
        <v>0</v>
      </c>
    </row>
    <row r="403" spans="1:6" ht="12.75">
      <c r="A403" s="17" t="s">
        <v>2458</v>
      </c>
      <c r="B403" s="54" t="s">
        <v>2459</v>
      </c>
      <c r="C403" s="19" t="s">
        <v>1561</v>
      </c>
      <c r="D403" s="298">
        <v>1</v>
      </c>
      <c r="E403" s="301">
        <v>1350</v>
      </c>
      <c r="F403" s="295">
        <f t="shared" si="2"/>
        <v>1350</v>
      </c>
    </row>
    <row r="404" spans="1:6" ht="12.75" customHeight="1">
      <c r="A404" s="17"/>
      <c r="B404" s="54"/>
      <c r="C404" s="19"/>
      <c r="D404" s="298"/>
      <c r="E404" s="301"/>
      <c r="F404" s="295">
        <f t="shared" si="2"/>
        <v>0</v>
      </c>
    </row>
    <row r="405" spans="1:6" ht="12.75">
      <c r="A405" s="17" t="s">
        <v>2460</v>
      </c>
      <c r="B405" s="54" t="s">
        <v>2461</v>
      </c>
      <c r="C405" s="19" t="s">
        <v>1561</v>
      </c>
      <c r="D405" s="298">
        <v>3</v>
      </c>
      <c r="E405" s="301">
        <v>1200</v>
      </c>
      <c r="F405" s="295">
        <f t="shared" si="2"/>
        <v>3600</v>
      </c>
    </row>
    <row r="406" spans="1:6" ht="12.75" customHeight="1">
      <c r="A406" s="187"/>
      <c r="B406" s="54"/>
      <c r="C406" s="19"/>
      <c r="D406" s="298"/>
      <c r="E406" s="301"/>
      <c r="F406" s="295">
        <f t="shared" si="2"/>
        <v>0</v>
      </c>
    </row>
    <row r="407" spans="1:6" ht="25.5">
      <c r="A407" s="17" t="s">
        <v>2462</v>
      </c>
      <c r="B407" s="54" t="s">
        <v>2637</v>
      </c>
      <c r="C407" s="19" t="s">
        <v>1561</v>
      </c>
      <c r="D407" s="298">
        <v>8</v>
      </c>
      <c r="E407" s="301">
        <v>850</v>
      </c>
      <c r="F407" s="295">
        <f t="shared" si="2"/>
        <v>6800</v>
      </c>
    </row>
    <row r="408" spans="1:6" ht="12.75" customHeight="1">
      <c r="A408" s="17"/>
      <c r="B408" s="54"/>
      <c r="F408" s="295">
        <f t="shared" si="2"/>
        <v>0</v>
      </c>
    </row>
    <row r="409" spans="1:6" ht="12.75">
      <c r="A409" s="245"/>
      <c r="B409" s="54" t="s">
        <v>2463</v>
      </c>
      <c r="C409" s="19"/>
      <c r="D409" s="298"/>
      <c r="E409" s="301"/>
      <c r="F409" s="295">
        <f t="shared" si="2"/>
        <v>0</v>
      </c>
    </row>
    <row r="410" spans="1:6" ht="12.75">
      <c r="A410" s="245"/>
      <c r="B410" s="54"/>
      <c r="C410" s="19"/>
      <c r="D410" s="298"/>
      <c r="E410" s="301"/>
      <c r="F410" s="295">
        <f t="shared" si="2"/>
        <v>0</v>
      </c>
    </row>
    <row r="411" spans="1:6" ht="27">
      <c r="A411" s="17" t="s">
        <v>2464</v>
      </c>
      <c r="B411" s="54" t="s">
        <v>2465</v>
      </c>
      <c r="C411" s="19"/>
      <c r="D411" s="298"/>
      <c r="E411" s="301"/>
      <c r="F411" s="295">
        <f t="shared" si="2"/>
        <v>0</v>
      </c>
    </row>
    <row r="412" spans="1:6" ht="51">
      <c r="A412" s="17"/>
      <c r="B412" s="54" t="s">
        <v>37</v>
      </c>
      <c r="C412" s="19" t="s">
        <v>1561</v>
      </c>
      <c r="D412" s="298">
        <v>9</v>
      </c>
      <c r="E412" s="301">
        <f>'Residential Block'!E546</f>
        <v>238.74125688437496</v>
      </c>
      <c r="F412" s="295">
        <f t="shared" si="2"/>
        <v>2148.6713119593746</v>
      </c>
    </row>
    <row r="413" spans="1:6" ht="12.75">
      <c r="A413" s="17"/>
      <c r="B413" s="54"/>
      <c r="C413" s="19"/>
      <c r="D413" s="298"/>
      <c r="E413" s="301"/>
      <c r="F413" s="295">
        <f t="shared" si="2"/>
        <v>0</v>
      </c>
    </row>
    <row r="414" spans="1:6" ht="12.75" customHeight="1">
      <c r="A414" s="17"/>
      <c r="B414" s="54" t="s">
        <v>2466</v>
      </c>
      <c r="C414" s="19"/>
      <c r="D414" s="298"/>
      <c r="E414" s="301"/>
      <c r="F414" s="295">
        <f t="shared" si="2"/>
        <v>0</v>
      </c>
    </row>
    <row r="415" spans="1:6" ht="12.75" customHeight="1">
      <c r="A415" s="17"/>
      <c r="B415" s="54"/>
      <c r="C415" s="19"/>
      <c r="D415" s="298"/>
      <c r="E415" s="301"/>
      <c r="F415" s="295">
        <f t="shared" si="2"/>
        <v>0</v>
      </c>
    </row>
    <row r="416" spans="1:6" ht="50.25">
      <c r="A416" s="17" t="s">
        <v>2467</v>
      </c>
      <c r="B416" s="54" t="s">
        <v>38</v>
      </c>
      <c r="C416" s="19" t="s">
        <v>1561</v>
      </c>
      <c r="D416" s="298">
        <v>6</v>
      </c>
      <c r="E416" s="301">
        <f>'Commercial Block'!E823</f>
        <v>153.121377959375</v>
      </c>
      <c r="F416" s="295">
        <f t="shared" si="2"/>
        <v>918.72826775625</v>
      </c>
    </row>
    <row r="417" spans="1:6" ht="12.75" customHeight="1">
      <c r="A417" s="187"/>
      <c r="B417" s="54"/>
      <c r="C417" s="19"/>
      <c r="D417" s="298"/>
      <c r="E417" s="301"/>
      <c r="F417" s="295">
        <f t="shared" si="2"/>
        <v>0</v>
      </c>
    </row>
    <row r="418" spans="1:6" ht="27">
      <c r="A418" s="245" t="s">
        <v>2468</v>
      </c>
      <c r="B418" s="54" t="s">
        <v>34</v>
      </c>
      <c r="C418" s="19" t="s">
        <v>1561</v>
      </c>
      <c r="D418" s="298">
        <v>1</v>
      </c>
      <c r="E418" s="301">
        <v>250</v>
      </c>
      <c r="F418" s="295">
        <f t="shared" si="2"/>
        <v>250</v>
      </c>
    </row>
    <row r="419" spans="1:6" ht="12.75">
      <c r="A419" s="17"/>
      <c r="B419" s="54"/>
      <c r="D419" s="58"/>
      <c r="E419" s="58"/>
      <c r="F419" s="295">
        <f t="shared" si="2"/>
        <v>0</v>
      </c>
    </row>
    <row r="420" spans="1:6" ht="12.75">
      <c r="A420" s="17"/>
      <c r="B420" s="54" t="s">
        <v>2469</v>
      </c>
      <c r="C420" s="19"/>
      <c r="D420" s="298"/>
      <c r="E420" s="301"/>
      <c r="F420" s="295">
        <f t="shared" si="2"/>
        <v>0</v>
      </c>
    </row>
    <row r="421" spans="1:6" ht="12.75">
      <c r="A421" s="17"/>
      <c r="B421" s="54"/>
      <c r="C421" s="19"/>
      <c r="D421" s="298"/>
      <c r="E421" s="301"/>
      <c r="F421" s="295">
        <f t="shared" si="2"/>
        <v>0</v>
      </c>
    </row>
    <row r="422" spans="1:6" ht="25.5">
      <c r="A422" s="187"/>
      <c r="B422" s="54" t="s">
        <v>35</v>
      </c>
      <c r="C422" s="19"/>
      <c r="D422" s="298"/>
      <c r="E422" s="301"/>
      <c r="F422" s="295">
        <f t="shared" si="2"/>
        <v>0</v>
      </c>
    </row>
    <row r="423" spans="1:6" ht="12.75">
      <c r="A423" s="17"/>
      <c r="B423" s="54"/>
      <c r="C423" s="19"/>
      <c r="D423" s="298"/>
      <c r="E423" s="301"/>
      <c r="F423" s="295">
        <f t="shared" si="2"/>
        <v>0</v>
      </c>
    </row>
    <row r="424" spans="1:6" ht="12.75" customHeight="1">
      <c r="A424" s="17" t="s">
        <v>2470</v>
      </c>
      <c r="B424" s="54" t="s">
        <v>3101</v>
      </c>
      <c r="C424" s="19" t="s">
        <v>1561</v>
      </c>
      <c r="D424" s="298">
        <v>2</v>
      </c>
      <c r="E424" s="301">
        <f>'Residential Block'!E552</f>
        <v>0</v>
      </c>
      <c r="F424" s="295">
        <f t="shared" si="2"/>
        <v>0</v>
      </c>
    </row>
    <row r="425" spans="1:6" ht="12.75">
      <c r="A425" s="17"/>
      <c r="B425" s="54"/>
      <c r="C425" s="19"/>
      <c r="D425" s="298"/>
      <c r="E425" s="301"/>
      <c r="F425" s="295">
        <f t="shared" si="2"/>
        <v>0</v>
      </c>
    </row>
    <row r="426" spans="1:6" ht="12.75">
      <c r="A426" s="245" t="s">
        <v>2471</v>
      </c>
      <c r="B426" s="54" t="s">
        <v>2553</v>
      </c>
      <c r="C426" s="19" t="s">
        <v>1561</v>
      </c>
      <c r="D426" s="298">
        <v>2</v>
      </c>
      <c r="E426" s="301">
        <f>'Residential Block'!E554</f>
        <v>0</v>
      </c>
      <c r="F426" s="295">
        <f t="shared" si="2"/>
        <v>0</v>
      </c>
    </row>
    <row r="427" spans="1:6" ht="12.75">
      <c r="A427" s="43"/>
      <c r="B427" s="54"/>
      <c r="C427" s="19"/>
      <c r="D427" s="298"/>
      <c r="E427" s="301"/>
      <c r="F427" s="295">
        <f t="shared" si="2"/>
        <v>0</v>
      </c>
    </row>
    <row r="428" spans="1:6" ht="12.75">
      <c r="A428" s="17" t="s">
        <v>2472</v>
      </c>
      <c r="B428" s="54" t="s">
        <v>3102</v>
      </c>
      <c r="C428" s="19" t="s">
        <v>1561</v>
      </c>
      <c r="D428" s="298">
        <v>4</v>
      </c>
      <c r="E428" s="301">
        <v>52</v>
      </c>
      <c r="F428" s="295">
        <f t="shared" si="2"/>
        <v>208</v>
      </c>
    </row>
    <row r="429" spans="1:6" ht="12.75">
      <c r="A429" s="43"/>
      <c r="B429" s="54"/>
      <c r="C429" s="19"/>
      <c r="D429" s="298"/>
      <c r="E429" s="301"/>
      <c r="F429" s="295">
        <f t="shared" si="2"/>
        <v>0</v>
      </c>
    </row>
    <row r="430" spans="1:6" ht="12.75">
      <c r="A430" s="245" t="s">
        <v>2473</v>
      </c>
      <c r="B430" s="54" t="s">
        <v>2474</v>
      </c>
      <c r="C430" s="19" t="s">
        <v>1561</v>
      </c>
      <c r="D430" s="298">
        <v>2</v>
      </c>
      <c r="E430" s="301">
        <v>60</v>
      </c>
      <c r="F430" s="295">
        <f t="shared" si="2"/>
        <v>120</v>
      </c>
    </row>
    <row r="431" spans="1:6" ht="12.75">
      <c r="A431" s="187"/>
      <c r="B431" s="54"/>
      <c r="C431" s="19"/>
      <c r="D431" s="298"/>
      <c r="E431" s="301"/>
      <c r="F431" s="295">
        <f t="shared" si="2"/>
        <v>0</v>
      </c>
    </row>
    <row r="432" spans="1:6" ht="12.75">
      <c r="A432" s="17" t="s">
        <v>2475</v>
      </c>
      <c r="B432" s="54" t="s">
        <v>3276</v>
      </c>
      <c r="C432" s="19" t="s">
        <v>2556</v>
      </c>
      <c r="D432" s="298">
        <v>4</v>
      </c>
      <c r="E432" s="301">
        <v>150</v>
      </c>
      <c r="F432" s="295">
        <f t="shared" si="2"/>
        <v>600</v>
      </c>
    </row>
    <row r="433" spans="1:6" ht="12.75" customHeight="1">
      <c r="A433" s="17"/>
      <c r="B433" s="54"/>
      <c r="C433" s="19"/>
      <c r="D433" s="298"/>
      <c r="E433" s="301"/>
      <c r="F433" s="295">
        <f t="shared" si="2"/>
        <v>0</v>
      </c>
    </row>
    <row r="434" spans="1:6" ht="25.5">
      <c r="A434" s="245" t="s">
        <v>3277</v>
      </c>
      <c r="B434" s="54" t="s">
        <v>3278</v>
      </c>
      <c r="C434" s="19" t="s">
        <v>2556</v>
      </c>
      <c r="D434" s="298">
        <v>1</v>
      </c>
      <c r="E434" s="301">
        <v>150</v>
      </c>
      <c r="F434" s="295">
        <f t="shared" si="2"/>
        <v>150</v>
      </c>
    </row>
    <row r="435" spans="1:6" ht="12.75" customHeight="1">
      <c r="A435" s="43"/>
      <c r="B435" s="54"/>
      <c r="C435" s="19"/>
      <c r="D435" s="298"/>
      <c r="E435" s="301"/>
      <c r="F435" s="295">
        <f t="shared" si="2"/>
        <v>0</v>
      </c>
    </row>
    <row r="436" spans="1:6" ht="12.75">
      <c r="A436" s="17"/>
      <c r="B436" s="54" t="s">
        <v>3279</v>
      </c>
      <c r="C436" s="19"/>
      <c r="D436" s="298"/>
      <c r="E436" s="301"/>
      <c r="F436" s="295">
        <f t="shared" si="2"/>
        <v>0</v>
      </c>
    </row>
    <row r="437" spans="1:6" ht="10.5" customHeight="1">
      <c r="A437" s="43"/>
      <c r="B437" s="54"/>
      <c r="C437" s="19"/>
      <c r="D437" s="298"/>
      <c r="E437" s="301"/>
      <c r="F437" s="295">
        <f aca="true" t="shared" si="3" ref="F437:F460">D437*E437</f>
        <v>0</v>
      </c>
    </row>
    <row r="438" spans="1:6" ht="12.75">
      <c r="A438" s="245"/>
      <c r="B438" s="54" t="s">
        <v>3280</v>
      </c>
      <c r="C438" s="19"/>
      <c r="D438" s="298"/>
      <c r="E438" s="301"/>
      <c r="F438" s="295">
        <f t="shared" si="3"/>
        <v>0</v>
      </c>
    </row>
    <row r="439" spans="1:6" ht="12.75">
      <c r="A439" s="245" t="s">
        <v>3281</v>
      </c>
      <c r="B439" s="54" t="s">
        <v>3282</v>
      </c>
      <c r="C439" s="19"/>
      <c r="D439" s="298"/>
      <c r="E439" s="301"/>
      <c r="F439" s="295">
        <f t="shared" si="3"/>
        <v>0</v>
      </c>
    </row>
    <row r="440" spans="1:6" ht="12.75">
      <c r="A440" s="17"/>
      <c r="B440" s="54" t="s">
        <v>3283</v>
      </c>
      <c r="C440" s="19" t="s">
        <v>1561</v>
      </c>
      <c r="D440" s="298">
        <v>4</v>
      </c>
      <c r="E440" s="301">
        <v>850</v>
      </c>
      <c r="F440" s="295">
        <f t="shared" si="3"/>
        <v>3400</v>
      </c>
    </row>
    <row r="441" spans="1:6" ht="12.75">
      <c r="A441" s="17"/>
      <c r="B441" s="54"/>
      <c r="C441" s="19"/>
      <c r="D441" s="298"/>
      <c r="E441" s="301"/>
      <c r="F441" s="295">
        <f t="shared" si="3"/>
        <v>0</v>
      </c>
    </row>
    <row r="442" spans="1:6" ht="12.75">
      <c r="A442" s="17" t="s">
        <v>3284</v>
      </c>
      <c r="B442" s="54" t="s">
        <v>3285</v>
      </c>
      <c r="C442" s="19"/>
      <c r="D442" s="298"/>
      <c r="E442" s="301"/>
      <c r="F442" s="295">
        <f t="shared" si="3"/>
        <v>0</v>
      </c>
    </row>
    <row r="443" spans="1:6" ht="12.75">
      <c r="A443" s="187"/>
      <c r="B443" s="54" t="s">
        <v>3283</v>
      </c>
      <c r="C443" s="19" t="s">
        <v>1561</v>
      </c>
      <c r="D443" s="298">
        <v>2</v>
      </c>
      <c r="E443" s="301">
        <v>850</v>
      </c>
      <c r="F443" s="295">
        <f t="shared" si="3"/>
        <v>1700</v>
      </c>
    </row>
    <row r="444" spans="1:6" ht="10.5" customHeight="1">
      <c r="A444" s="17"/>
      <c r="B444" s="54"/>
      <c r="C444" s="19"/>
      <c r="D444" s="298"/>
      <c r="E444" s="301"/>
      <c r="F444" s="295">
        <f t="shared" si="3"/>
        <v>0</v>
      </c>
    </row>
    <row r="445" spans="1:6" ht="12.75" customHeight="1">
      <c r="A445" s="17"/>
      <c r="B445" s="54" t="s">
        <v>3286</v>
      </c>
      <c r="C445" s="19"/>
      <c r="D445" s="298"/>
      <c r="E445" s="301"/>
      <c r="F445" s="295">
        <f t="shared" si="3"/>
        <v>0</v>
      </c>
    </row>
    <row r="446" spans="1:6" ht="12.75">
      <c r="A446" s="17"/>
      <c r="B446" s="54"/>
      <c r="C446" s="19"/>
      <c r="D446" s="298"/>
      <c r="E446" s="301"/>
      <c r="F446" s="295">
        <f t="shared" si="3"/>
        <v>0</v>
      </c>
    </row>
    <row r="447" spans="1:6" ht="12.75" customHeight="1">
      <c r="A447" s="187" t="s">
        <v>3287</v>
      </c>
      <c r="B447" s="54" t="s">
        <v>2580</v>
      </c>
      <c r="C447" s="19"/>
      <c r="D447" s="298"/>
      <c r="E447" s="301"/>
      <c r="F447" s="295">
        <f t="shared" si="3"/>
        <v>0</v>
      </c>
    </row>
    <row r="448" spans="1:6" ht="12.75">
      <c r="A448" s="17"/>
      <c r="B448" s="54" t="s">
        <v>2579</v>
      </c>
      <c r="C448" s="19" t="s">
        <v>1561</v>
      </c>
      <c r="D448" s="298">
        <v>2</v>
      </c>
      <c r="E448" s="301">
        <f>'Commercial Block'!E871</f>
        <v>250</v>
      </c>
      <c r="F448" s="295">
        <f t="shared" si="3"/>
        <v>500</v>
      </c>
    </row>
    <row r="449" spans="1:6" ht="9.75" customHeight="1">
      <c r="A449" s="17"/>
      <c r="B449" s="54"/>
      <c r="C449" s="19"/>
      <c r="D449" s="298"/>
      <c r="E449" s="301"/>
      <c r="F449" s="295">
        <f t="shared" si="3"/>
        <v>0</v>
      </c>
    </row>
    <row r="450" spans="1:6" ht="25.5">
      <c r="A450" s="17" t="s">
        <v>3288</v>
      </c>
      <c r="B450" s="54" t="s">
        <v>2022</v>
      </c>
      <c r="C450" s="19" t="s">
        <v>1561</v>
      </c>
      <c r="D450" s="298">
        <v>2</v>
      </c>
      <c r="E450" s="301">
        <v>450</v>
      </c>
      <c r="F450" s="295">
        <f t="shared" si="3"/>
        <v>900</v>
      </c>
    </row>
    <row r="451" spans="1:6" ht="9.75" customHeight="1">
      <c r="A451" s="245"/>
      <c r="B451" s="54"/>
      <c r="C451" s="19"/>
      <c r="D451" s="298"/>
      <c r="E451" s="301"/>
      <c r="F451" s="295">
        <f t="shared" si="3"/>
        <v>0</v>
      </c>
    </row>
    <row r="452" spans="1:6" ht="12.75">
      <c r="A452" s="17"/>
      <c r="B452" s="54" t="s">
        <v>3289</v>
      </c>
      <c r="C452" s="19"/>
      <c r="D452" s="298"/>
      <c r="E452" s="301"/>
      <c r="F452" s="295">
        <f t="shared" si="3"/>
        <v>0</v>
      </c>
    </row>
    <row r="453" spans="1:6" ht="12.75">
      <c r="A453" s="17"/>
      <c r="B453" s="54" t="s">
        <v>3286</v>
      </c>
      <c r="C453" s="19"/>
      <c r="D453" s="298"/>
      <c r="E453" s="301"/>
      <c r="F453" s="295">
        <f t="shared" si="3"/>
        <v>0</v>
      </c>
    </row>
    <row r="454" spans="1:6" ht="12.75">
      <c r="A454" s="17"/>
      <c r="B454" s="54"/>
      <c r="C454" s="19"/>
      <c r="D454" s="298"/>
      <c r="E454" s="301"/>
      <c r="F454" s="295">
        <f t="shared" si="3"/>
        <v>0</v>
      </c>
    </row>
    <row r="455" spans="1:6" ht="63.75">
      <c r="A455" s="17" t="s">
        <v>3290</v>
      </c>
      <c r="B455" s="54" t="s">
        <v>36</v>
      </c>
      <c r="C455" s="19" t="s">
        <v>1561</v>
      </c>
      <c r="D455" s="298">
        <v>2</v>
      </c>
      <c r="E455" s="301">
        <v>100</v>
      </c>
      <c r="F455" s="295">
        <f t="shared" si="3"/>
        <v>200</v>
      </c>
    </row>
    <row r="456" spans="1:6" ht="11.25" customHeight="1">
      <c r="A456" s="187"/>
      <c r="B456" s="54"/>
      <c r="C456" s="19"/>
      <c r="D456" s="298"/>
      <c r="E456" s="301"/>
      <c r="F456" s="295">
        <f t="shared" si="3"/>
        <v>0</v>
      </c>
    </row>
    <row r="457" spans="1:6" ht="12.75">
      <c r="A457" s="17" t="s">
        <v>3291</v>
      </c>
      <c r="B457" s="54" t="s">
        <v>1055</v>
      </c>
      <c r="C457" s="19"/>
      <c r="D457" s="298"/>
      <c r="E457" s="301"/>
      <c r="F457" s="295">
        <f t="shared" si="3"/>
        <v>0</v>
      </c>
    </row>
    <row r="458" spans="1:6" ht="12.75" customHeight="1">
      <c r="A458" s="17"/>
      <c r="B458" s="54" t="s">
        <v>1056</v>
      </c>
      <c r="C458" s="19" t="s">
        <v>1561</v>
      </c>
      <c r="D458" s="298">
        <v>2</v>
      </c>
      <c r="E458" s="301">
        <v>60</v>
      </c>
      <c r="F458" s="295">
        <f t="shared" si="3"/>
        <v>120</v>
      </c>
    </row>
    <row r="459" spans="1:6" ht="12.75">
      <c r="A459" s="17"/>
      <c r="B459" s="54"/>
      <c r="C459" s="19"/>
      <c r="D459" s="298"/>
      <c r="E459" s="301"/>
      <c r="F459" s="295">
        <f t="shared" si="3"/>
        <v>0</v>
      </c>
    </row>
    <row r="460" spans="1:6" ht="25.5">
      <c r="A460" s="245" t="s">
        <v>3292</v>
      </c>
      <c r="B460" s="54" t="s">
        <v>39</v>
      </c>
      <c r="C460" s="19" t="s">
        <v>1561</v>
      </c>
      <c r="D460" s="298">
        <v>2</v>
      </c>
      <c r="E460" s="301">
        <v>300</v>
      </c>
      <c r="F460" s="295">
        <f t="shared" si="3"/>
        <v>600</v>
      </c>
    </row>
    <row r="461" spans="2:6" ht="12.75">
      <c r="B461" s="43"/>
      <c r="D461" s="58"/>
      <c r="E461" s="58"/>
      <c r="F461" s="58"/>
    </row>
    <row r="462" spans="2:6" ht="13.5" thickBot="1">
      <c r="B462" s="51" t="s">
        <v>1066</v>
      </c>
      <c r="D462" s="58"/>
      <c r="E462" s="58"/>
      <c r="F462" s="393">
        <f>SUM(F240:F461)</f>
        <v>976443.566661712</v>
      </c>
    </row>
    <row r="463" spans="1:6" s="27" customFormat="1" ht="13.5" thickTop="1">
      <c r="A463" s="258">
        <v>6</v>
      </c>
      <c r="B463" s="264" t="s">
        <v>1403</v>
      </c>
      <c r="D463" s="44"/>
      <c r="E463" s="44"/>
      <c r="F463" s="44"/>
    </row>
    <row r="464" spans="4:6" s="27" customFormat="1" ht="12.75">
      <c r="D464" s="44"/>
      <c r="E464" s="44"/>
      <c r="F464" s="44"/>
    </row>
    <row r="465" spans="1:6" s="27" customFormat="1" ht="12.75">
      <c r="A465" s="199">
        <v>6.1</v>
      </c>
      <c r="B465" s="27" t="s">
        <v>1404</v>
      </c>
      <c r="D465" s="44"/>
      <c r="E465" s="44"/>
      <c r="F465" s="44"/>
    </row>
    <row r="466" spans="1:6" s="27" customFormat="1" ht="12.75">
      <c r="A466" s="199"/>
      <c r="D466" s="44"/>
      <c r="E466" s="44"/>
      <c r="F466" s="44"/>
    </row>
    <row r="467" spans="1:6" s="27" customFormat="1" ht="12.75">
      <c r="A467" s="199" t="s">
        <v>1405</v>
      </c>
      <c r="B467" s="27" t="s">
        <v>232</v>
      </c>
      <c r="D467" s="44"/>
      <c r="E467" s="44"/>
      <c r="F467" s="44"/>
    </row>
    <row r="468" spans="1:6" s="27" customFormat="1" ht="12.75">
      <c r="A468" s="199"/>
      <c r="B468" s="27" t="s">
        <v>2213</v>
      </c>
      <c r="D468" s="44"/>
      <c r="E468" s="44"/>
      <c r="F468" s="44"/>
    </row>
    <row r="469" spans="1:6" s="27" customFormat="1" ht="75" customHeight="1">
      <c r="A469" s="199"/>
      <c r="B469" s="27" t="s">
        <v>503</v>
      </c>
      <c r="D469" s="44"/>
      <c r="E469" s="44"/>
      <c r="F469" s="44"/>
    </row>
    <row r="470" spans="1:6" s="27" customFormat="1" ht="12.75">
      <c r="A470" s="199"/>
      <c r="D470" s="44"/>
      <c r="E470" s="44"/>
      <c r="F470" s="44"/>
    </row>
    <row r="471" spans="1:6" s="27" customFormat="1" ht="12.75">
      <c r="A471" s="199"/>
      <c r="B471" s="27" t="s">
        <v>504</v>
      </c>
      <c r="D471" s="44"/>
      <c r="E471" s="44"/>
      <c r="F471" s="44"/>
    </row>
    <row r="472" spans="1:6" s="27" customFormat="1" ht="12.75">
      <c r="A472" s="199"/>
      <c r="B472" s="27" t="s">
        <v>505</v>
      </c>
      <c r="D472" s="44"/>
      <c r="E472" s="44"/>
      <c r="F472" s="44"/>
    </row>
    <row r="473" spans="1:6" s="27" customFormat="1" ht="12.75">
      <c r="A473" s="199"/>
      <c r="B473" s="27" t="s">
        <v>506</v>
      </c>
      <c r="C473" s="27" t="s">
        <v>2556</v>
      </c>
      <c r="D473" s="235">
        <v>2</v>
      </c>
      <c r="E473" s="394">
        <v>8500</v>
      </c>
      <c r="F473" s="394">
        <f>D473*E473</f>
        <v>17000</v>
      </c>
    </row>
    <row r="474" spans="1:6" s="27" customFormat="1" ht="12.75">
      <c r="A474" s="199"/>
      <c r="B474" s="27" t="s">
        <v>507</v>
      </c>
      <c r="D474" s="44"/>
      <c r="E474" s="394"/>
      <c r="F474" s="394">
        <f aca="true" t="shared" si="4" ref="F474:F537">D474*E474</f>
        <v>0</v>
      </c>
    </row>
    <row r="475" spans="1:6" s="27" customFormat="1" ht="12.75">
      <c r="A475" s="199"/>
      <c r="B475" s="27" t="s">
        <v>504</v>
      </c>
      <c r="D475" s="44"/>
      <c r="E475" s="394"/>
      <c r="F475" s="394">
        <f t="shared" si="4"/>
        <v>0</v>
      </c>
    </row>
    <row r="476" spans="1:6" s="27" customFormat="1" ht="12.75">
      <c r="A476" s="199"/>
      <c r="B476" s="27" t="s">
        <v>505</v>
      </c>
      <c r="D476" s="44"/>
      <c r="E476" s="394"/>
      <c r="F476" s="394">
        <f t="shared" si="4"/>
        <v>0</v>
      </c>
    </row>
    <row r="477" spans="1:6" s="27" customFormat="1" ht="12.75">
      <c r="A477" s="199"/>
      <c r="B477" s="27" t="s">
        <v>506</v>
      </c>
      <c r="C477" s="27" t="s">
        <v>2556</v>
      </c>
      <c r="D477" s="44">
        <v>1</v>
      </c>
      <c r="E477" s="394">
        <v>18500</v>
      </c>
      <c r="F477" s="394">
        <f t="shared" si="4"/>
        <v>18500</v>
      </c>
    </row>
    <row r="478" spans="1:6" s="27" customFormat="1" ht="12.75">
      <c r="A478" s="199" t="s">
        <v>1406</v>
      </c>
      <c r="B478" s="27" t="s">
        <v>508</v>
      </c>
      <c r="D478" s="44"/>
      <c r="E478" s="44"/>
      <c r="F478" s="394">
        <f t="shared" si="4"/>
        <v>0</v>
      </c>
    </row>
    <row r="479" spans="1:6" s="27" customFormat="1" ht="38.25">
      <c r="A479" s="199"/>
      <c r="B479" s="27" t="s">
        <v>458</v>
      </c>
      <c r="D479" s="44"/>
      <c r="E479" s="44"/>
      <c r="F479" s="394">
        <f t="shared" si="4"/>
        <v>0</v>
      </c>
    </row>
    <row r="480" spans="1:6" s="27" customFormat="1" ht="12.75">
      <c r="A480" s="199"/>
      <c r="B480" s="27" t="s">
        <v>459</v>
      </c>
      <c r="D480" s="44"/>
      <c r="E480" s="44"/>
      <c r="F480" s="394">
        <f t="shared" si="4"/>
        <v>0</v>
      </c>
    </row>
    <row r="481" spans="1:6" s="27" customFormat="1" ht="12.75">
      <c r="A481" s="199"/>
      <c r="B481" s="27" t="s">
        <v>1651</v>
      </c>
      <c r="D481" s="44"/>
      <c r="E481" s="44"/>
      <c r="F481" s="394">
        <f t="shared" si="4"/>
        <v>0</v>
      </c>
    </row>
    <row r="482" spans="1:6" s="27" customFormat="1" ht="12.75">
      <c r="A482" s="199"/>
      <c r="B482" s="27" t="s">
        <v>1652</v>
      </c>
      <c r="D482" s="44"/>
      <c r="E482" s="44"/>
      <c r="F482" s="394">
        <f t="shared" si="4"/>
        <v>0</v>
      </c>
    </row>
    <row r="483" spans="1:6" s="27" customFormat="1" ht="12.75">
      <c r="A483" s="199"/>
      <c r="B483" s="27" t="s">
        <v>1653</v>
      </c>
      <c r="D483" s="44"/>
      <c r="E483" s="44"/>
      <c r="F483" s="394">
        <f t="shared" si="4"/>
        <v>0</v>
      </c>
    </row>
    <row r="484" spans="1:6" s="27" customFormat="1" ht="76.5">
      <c r="A484" s="199"/>
      <c r="B484" s="27" t="s">
        <v>2126</v>
      </c>
      <c r="D484" s="44"/>
      <c r="E484" s="44"/>
      <c r="F484" s="394">
        <f t="shared" si="4"/>
        <v>0</v>
      </c>
    </row>
    <row r="485" spans="1:6" s="27" customFormat="1" ht="12.75">
      <c r="A485" s="199"/>
      <c r="B485" s="27" t="s">
        <v>2127</v>
      </c>
      <c r="D485" s="44"/>
      <c r="E485" s="44"/>
      <c r="F485" s="394">
        <f t="shared" si="4"/>
        <v>0</v>
      </c>
    </row>
    <row r="486" spans="1:6" s="27" customFormat="1" ht="12.75">
      <c r="A486" s="199"/>
      <c r="B486" s="27" t="s">
        <v>2128</v>
      </c>
      <c r="D486" s="44"/>
      <c r="E486" s="44"/>
      <c r="F486" s="394">
        <f t="shared" si="4"/>
        <v>0</v>
      </c>
    </row>
    <row r="487" spans="1:6" s="27" customFormat="1" ht="12.75">
      <c r="A487" s="199"/>
      <c r="B487" s="27" t="s">
        <v>2129</v>
      </c>
      <c r="C487" s="27" t="s">
        <v>2556</v>
      </c>
      <c r="D487" s="44">
        <v>1</v>
      </c>
      <c r="E487" s="394">
        <v>8500</v>
      </c>
      <c r="F487" s="394">
        <f t="shared" si="4"/>
        <v>8500</v>
      </c>
    </row>
    <row r="488" spans="1:6" s="27" customFormat="1" ht="12.75">
      <c r="A488" s="199"/>
      <c r="D488" s="44"/>
      <c r="E488" s="44"/>
      <c r="F488" s="394">
        <f t="shared" si="4"/>
        <v>0</v>
      </c>
    </row>
    <row r="489" spans="1:6" s="27" customFormat="1" ht="38.25">
      <c r="A489" s="199" t="s">
        <v>1407</v>
      </c>
      <c r="B489" s="27" t="s">
        <v>2130</v>
      </c>
      <c r="D489" s="44"/>
      <c r="E489" s="44"/>
      <c r="F489" s="394">
        <f t="shared" si="4"/>
        <v>0</v>
      </c>
    </row>
    <row r="490" spans="1:6" s="27" customFormat="1" ht="12.75">
      <c r="A490" s="199"/>
      <c r="B490" s="27" t="s">
        <v>2131</v>
      </c>
      <c r="C490" s="27" t="s">
        <v>2556</v>
      </c>
      <c r="D490" s="44">
        <v>1</v>
      </c>
      <c r="E490" s="394">
        <v>3500</v>
      </c>
      <c r="F490" s="394">
        <f t="shared" si="4"/>
        <v>3500</v>
      </c>
    </row>
    <row r="491" spans="1:6" s="27" customFormat="1" ht="12.75">
      <c r="A491" s="199"/>
      <c r="D491" s="44"/>
      <c r="E491" s="394"/>
      <c r="F491" s="394">
        <f t="shared" si="4"/>
        <v>0</v>
      </c>
    </row>
    <row r="492" spans="1:6" s="27" customFormat="1" ht="25.5">
      <c r="A492" s="199" t="s">
        <v>1408</v>
      </c>
      <c r="B492" s="27" t="s">
        <v>2132</v>
      </c>
      <c r="C492" s="27" t="s">
        <v>2556</v>
      </c>
      <c r="D492" s="44">
        <v>2</v>
      </c>
      <c r="E492" s="394">
        <v>32000</v>
      </c>
      <c r="F492" s="394">
        <f t="shared" si="4"/>
        <v>64000</v>
      </c>
    </row>
    <row r="493" spans="4:6" s="27" customFormat="1" ht="12.75">
      <c r="D493" s="44"/>
      <c r="E493" s="44"/>
      <c r="F493" s="394">
        <f t="shared" si="4"/>
        <v>0</v>
      </c>
    </row>
    <row r="494" spans="1:6" s="2" customFormat="1" ht="76.5">
      <c r="A494" s="17">
        <v>6.2</v>
      </c>
      <c r="B494" s="13" t="s">
        <v>3075</v>
      </c>
      <c r="C494" s="19"/>
      <c r="D494" s="377"/>
      <c r="E494" s="332"/>
      <c r="F494" s="394">
        <f t="shared" si="4"/>
        <v>0</v>
      </c>
    </row>
    <row r="495" spans="1:6" s="2" customFormat="1" ht="12.75">
      <c r="A495" s="17"/>
      <c r="B495" s="18"/>
      <c r="C495" s="19"/>
      <c r="D495" s="377"/>
      <c r="E495" s="332"/>
      <c r="F495" s="394">
        <f t="shared" si="4"/>
        <v>0</v>
      </c>
    </row>
    <row r="496" spans="1:6" s="2" customFormat="1" ht="12.75">
      <c r="A496" s="17"/>
      <c r="B496" s="13" t="s">
        <v>3076</v>
      </c>
      <c r="C496" s="19"/>
      <c r="D496" s="377"/>
      <c r="E496" s="332"/>
      <c r="F496" s="394">
        <f t="shared" si="4"/>
        <v>0</v>
      </c>
    </row>
    <row r="497" spans="1:6" s="2" customFormat="1" ht="12.75">
      <c r="A497" s="17"/>
      <c r="B497" s="53"/>
      <c r="C497" s="19"/>
      <c r="D497" s="377"/>
      <c r="E497" s="332"/>
      <c r="F497" s="394">
        <f t="shared" si="4"/>
        <v>0</v>
      </c>
    </row>
    <row r="498" spans="1:6" s="63" customFormat="1" ht="25.5">
      <c r="A498" s="166" t="s">
        <v>2588</v>
      </c>
      <c r="B498" s="268" t="s">
        <v>3077</v>
      </c>
      <c r="C498" s="19" t="s">
        <v>1565</v>
      </c>
      <c r="D498" s="369">
        <v>61</v>
      </c>
      <c r="E498" s="332">
        <f>'Cost break dow.'!V11</f>
        <v>0</v>
      </c>
      <c r="F498" s="492">
        <f t="shared" si="4"/>
        <v>0</v>
      </c>
    </row>
    <row r="499" spans="1:6" s="63" customFormat="1" ht="12.75">
      <c r="A499" s="166"/>
      <c r="B499" s="268"/>
      <c r="C499" s="19"/>
      <c r="D499" s="369"/>
      <c r="E499" s="332"/>
      <c r="F499" s="492">
        <f t="shared" si="4"/>
        <v>0</v>
      </c>
    </row>
    <row r="500" spans="1:6" s="63" customFormat="1" ht="25.5">
      <c r="A500" s="166" t="s">
        <v>2589</v>
      </c>
      <c r="B500" s="268" t="s">
        <v>3078</v>
      </c>
      <c r="C500" s="19" t="s">
        <v>1567</v>
      </c>
      <c r="D500" s="369">
        <v>61</v>
      </c>
      <c r="E500" s="332">
        <f>'Cost break dow.'!V18</f>
        <v>30.954561738296125</v>
      </c>
      <c r="F500" s="492">
        <f t="shared" si="4"/>
        <v>1888.2282660360636</v>
      </c>
    </row>
    <row r="501" spans="1:6" s="63" customFormat="1" ht="12.75">
      <c r="A501" s="166"/>
      <c r="B501" s="238"/>
      <c r="C501" s="19"/>
      <c r="D501" s="369"/>
      <c r="E501" s="332"/>
      <c r="F501" s="492">
        <f t="shared" si="4"/>
        <v>0</v>
      </c>
    </row>
    <row r="502" spans="1:6" s="63" customFormat="1" ht="14.25">
      <c r="A502" s="166" t="s">
        <v>2590</v>
      </c>
      <c r="B502" s="268" t="s">
        <v>3079</v>
      </c>
      <c r="C502" s="19" t="s">
        <v>1567</v>
      </c>
      <c r="D502" s="369">
        <v>18.5</v>
      </c>
      <c r="E502" s="332">
        <f>'Cost break dow.'!V48</f>
        <v>126.28523433499151</v>
      </c>
      <c r="F502" s="492">
        <f t="shared" si="4"/>
        <v>2336.276835197343</v>
      </c>
    </row>
    <row r="503" spans="1:6" s="63" customFormat="1" ht="12.75">
      <c r="A503" s="166"/>
      <c r="B503" s="268"/>
      <c r="C503" s="19"/>
      <c r="D503" s="369"/>
      <c r="E503" s="332"/>
      <c r="F503" s="492">
        <f t="shared" si="4"/>
        <v>0</v>
      </c>
    </row>
    <row r="504" spans="1:6" s="63" customFormat="1" ht="14.25">
      <c r="A504" s="166" t="s">
        <v>2591</v>
      </c>
      <c r="B504" s="268" t="s">
        <v>3080</v>
      </c>
      <c r="C504" s="19" t="s">
        <v>1567</v>
      </c>
      <c r="D504" s="369">
        <v>73</v>
      </c>
      <c r="E504" s="332">
        <f>'Cost break dow.'!V54</f>
        <v>97.80008633385177</v>
      </c>
      <c r="F504" s="492">
        <f t="shared" si="4"/>
        <v>7139.406302371179</v>
      </c>
    </row>
    <row r="505" spans="1:6" s="63" customFormat="1" ht="12.75">
      <c r="A505" s="166"/>
      <c r="B505" s="268"/>
      <c r="C505" s="19"/>
      <c r="D505" s="369"/>
      <c r="E505" s="332"/>
      <c r="F505" s="492">
        <f t="shared" si="4"/>
        <v>0</v>
      </c>
    </row>
    <row r="506" spans="1:6" s="63" customFormat="1" ht="25.5">
      <c r="A506" s="166" t="s">
        <v>2592</v>
      </c>
      <c r="B506" s="268" t="s">
        <v>2199</v>
      </c>
      <c r="C506" s="19" t="s">
        <v>1565</v>
      </c>
      <c r="D506" s="369">
        <v>42</v>
      </c>
      <c r="E506" s="332">
        <f>'Cost break dow.'!V59</f>
        <v>128.5101460860932</v>
      </c>
      <c r="F506" s="492">
        <f t="shared" si="4"/>
        <v>5397.426135615914</v>
      </c>
    </row>
    <row r="507" spans="1:6" s="63" customFormat="1" ht="12.75">
      <c r="A507" s="166"/>
      <c r="B507" s="238"/>
      <c r="C507" s="19"/>
      <c r="D507" s="369"/>
      <c r="E507" s="332"/>
      <c r="F507" s="492">
        <f t="shared" si="4"/>
        <v>0</v>
      </c>
    </row>
    <row r="508" spans="1:6" s="63" customFormat="1" ht="12.75">
      <c r="A508" s="168"/>
      <c r="B508" s="269" t="s">
        <v>54</v>
      </c>
      <c r="C508" s="19"/>
      <c r="D508" s="369"/>
      <c r="E508" s="332"/>
      <c r="F508" s="492">
        <f t="shared" si="4"/>
        <v>0</v>
      </c>
    </row>
    <row r="509" spans="1:6" s="63" customFormat="1" ht="12.75">
      <c r="A509" s="166"/>
      <c r="B509" s="269"/>
      <c r="C509" s="19"/>
      <c r="D509" s="369"/>
      <c r="E509" s="332"/>
      <c r="F509" s="492">
        <f t="shared" si="4"/>
        <v>0</v>
      </c>
    </row>
    <row r="510" spans="1:6" s="63" customFormat="1" ht="25.5">
      <c r="A510" s="166"/>
      <c r="B510" s="268" t="s">
        <v>213</v>
      </c>
      <c r="C510" s="19"/>
      <c r="D510" s="369"/>
      <c r="E510" s="332"/>
      <c r="F510" s="492">
        <f t="shared" si="4"/>
        <v>0</v>
      </c>
    </row>
    <row r="511" spans="1:6" s="63" customFormat="1" ht="12.75">
      <c r="A511" s="166"/>
      <c r="B511" s="238"/>
      <c r="C511" s="19"/>
      <c r="D511" s="369"/>
      <c r="E511" s="332"/>
      <c r="F511" s="492">
        <f t="shared" si="4"/>
        <v>0</v>
      </c>
    </row>
    <row r="512" spans="1:6" s="63" customFormat="1" ht="14.25">
      <c r="A512" s="166" t="s">
        <v>2593</v>
      </c>
      <c r="B512" s="238" t="s">
        <v>214</v>
      </c>
      <c r="C512" s="19" t="s">
        <v>1565</v>
      </c>
      <c r="D512" s="369">
        <v>42</v>
      </c>
      <c r="E512" s="332">
        <f>'Cost break dow.'!V74*0.05</f>
        <v>0</v>
      </c>
      <c r="F512" s="394">
        <f t="shared" si="4"/>
        <v>0</v>
      </c>
    </row>
    <row r="513" spans="1:6" s="63" customFormat="1" ht="12.75">
      <c r="A513" s="166"/>
      <c r="B513" s="238"/>
      <c r="C513" s="19"/>
      <c r="D513" s="369"/>
      <c r="E513" s="332"/>
      <c r="F513" s="394">
        <f t="shared" si="4"/>
        <v>0</v>
      </c>
    </row>
    <row r="514" spans="1:6" s="63" customFormat="1" ht="51">
      <c r="A514" s="166"/>
      <c r="B514" s="139" t="s">
        <v>215</v>
      </c>
      <c r="C514" s="19"/>
      <c r="D514" s="369"/>
      <c r="E514" s="332"/>
      <c r="F514" s="394">
        <f t="shared" si="4"/>
        <v>0</v>
      </c>
    </row>
    <row r="515" spans="1:6" s="63" customFormat="1" ht="12.75">
      <c r="A515" s="166"/>
      <c r="B515" s="238"/>
      <c r="C515" s="19"/>
      <c r="D515" s="369"/>
      <c r="E515" s="332"/>
      <c r="F515" s="394">
        <f t="shared" si="4"/>
        <v>0</v>
      </c>
    </row>
    <row r="516" spans="1:6" s="63" customFormat="1" ht="14.25">
      <c r="A516" s="166" t="s">
        <v>2594</v>
      </c>
      <c r="B516" s="270" t="s">
        <v>216</v>
      </c>
      <c r="C516" s="19" t="s">
        <v>1565</v>
      </c>
      <c r="D516" s="369">
        <v>39</v>
      </c>
      <c r="E516" s="332">
        <f>'Cost break dow.'!V112*0.2</f>
        <v>508.02796908061447</v>
      </c>
      <c r="F516" s="394">
        <f t="shared" si="4"/>
        <v>19813.090794143965</v>
      </c>
    </row>
    <row r="517" spans="1:6" s="63" customFormat="1" ht="14.25">
      <c r="A517" s="166" t="s">
        <v>2595</v>
      </c>
      <c r="B517" s="270" t="s">
        <v>217</v>
      </c>
      <c r="C517" s="19" t="s">
        <v>1565</v>
      </c>
      <c r="D517" s="369">
        <v>3.5</v>
      </c>
      <c r="E517" s="332">
        <f>'Cost break dow.'!V112*0.1</f>
        <v>254.01398454030723</v>
      </c>
      <c r="F517" s="394">
        <f t="shared" si="4"/>
        <v>889.0489458910753</v>
      </c>
    </row>
    <row r="518" spans="1:6" s="63" customFormat="1" ht="14.25">
      <c r="A518" s="166" t="s">
        <v>2596</v>
      </c>
      <c r="B518" s="270" t="s">
        <v>218</v>
      </c>
      <c r="C518" s="19" t="s">
        <v>1567</v>
      </c>
      <c r="D518" s="369">
        <v>0.25</v>
      </c>
      <c r="E518" s="332">
        <f>'Cost break dow.'!V112</f>
        <v>2540.1398454030723</v>
      </c>
      <c r="F518" s="394">
        <f t="shared" si="4"/>
        <v>635.0349613507681</v>
      </c>
    </row>
    <row r="519" spans="1:6" s="63" customFormat="1" ht="14.25">
      <c r="A519" s="166" t="s">
        <v>2597</v>
      </c>
      <c r="B519" s="238" t="s">
        <v>219</v>
      </c>
      <c r="C519" s="19" t="s">
        <v>1565</v>
      </c>
      <c r="D519" s="369">
        <v>94.5</v>
      </c>
      <c r="E519" s="332">
        <f>'Cost break dow.'!V112*0.2</f>
        <v>508.02796908061447</v>
      </c>
      <c r="F519" s="394">
        <f t="shared" si="4"/>
        <v>48008.64307811807</v>
      </c>
    </row>
    <row r="520" spans="1:6" s="63" customFormat="1" ht="14.25">
      <c r="A520" s="166" t="s">
        <v>2598</v>
      </c>
      <c r="B520" s="270" t="s">
        <v>220</v>
      </c>
      <c r="C520" s="19" t="s">
        <v>1565</v>
      </c>
      <c r="D520" s="369">
        <v>38.5</v>
      </c>
      <c r="E520" s="332">
        <f>'Cost break dow.'!V112*0.15</f>
        <v>381.0209768104608</v>
      </c>
      <c r="F520" s="394">
        <f t="shared" si="4"/>
        <v>14669.307607202742</v>
      </c>
    </row>
    <row r="521" spans="1:10" s="63" customFormat="1" ht="12.75">
      <c r="A521" s="166"/>
      <c r="B521" s="270"/>
      <c r="C521" s="19"/>
      <c r="D521" s="369"/>
      <c r="E521" s="332"/>
      <c r="F521" s="394">
        <f t="shared" si="4"/>
        <v>0</v>
      </c>
      <c r="G521" s="271"/>
      <c r="H521" s="271"/>
      <c r="I521" s="271"/>
      <c r="J521" s="271"/>
    </row>
    <row r="522" spans="1:10" s="63" customFormat="1" ht="25.5">
      <c r="A522" s="166"/>
      <c r="B522" s="268" t="s">
        <v>221</v>
      </c>
      <c r="C522" s="19"/>
      <c r="D522" s="369"/>
      <c r="E522" s="332"/>
      <c r="F522" s="394">
        <f t="shared" si="4"/>
        <v>0</v>
      </c>
      <c r="J522" s="157"/>
    </row>
    <row r="523" spans="1:8" s="63" customFormat="1" ht="12.75">
      <c r="A523" s="166"/>
      <c r="B523" s="268"/>
      <c r="C523" s="19"/>
      <c r="D523" s="369"/>
      <c r="E523" s="332"/>
      <c r="F523" s="394">
        <f t="shared" si="4"/>
        <v>0</v>
      </c>
      <c r="G523" s="157"/>
      <c r="H523" s="157"/>
    </row>
    <row r="524" spans="1:7" s="63" customFormat="1" ht="14.25">
      <c r="A524" s="166" t="s">
        <v>2599</v>
      </c>
      <c r="B524" s="270" t="s">
        <v>222</v>
      </c>
      <c r="C524" s="19" t="s">
        <v>1565</v>
      </c>
      <c r="D524" s="369">
        <v>9</v>
      </c>
      <c r="E524" s="332">
        <f>'Cost break dow.'!V118</f>
        <v>290.32734629873335</v>
      </c>
      <c r="F524" s="394">
        <f t="shared" si="4"/>
        <v>2612.9461166886003</v>
      </c>
      <c r="G524" s="157"/>
    </row>
    <row r="525" spans="1:6" s="63" customFormat="1" ht="14.25">
      <c r="A525" s="166" t="s">
        <v>2600</v>
      </c>
      <c r="B525" s="270" t="s">
        <v>218</v>
      </c>
      <c r="C525" s="19" t="s">
        <v>1565</v>
      </c>
      <c r="D525" s="369">
        <v>1.6</v>
      </c>
      <c r="E525" s="332">
        <f>E524</f>
        <v>290.32734629873335</v>
      </c>
      <c r="F525" s="394">
        <f t="shared" si="4"/>
        <v>464.52375407797336</v>
      </c>
    </row>
    <row r="526" spans="1:6" s="63" customFormat="1" ht="14.25">
      <c r="A526" s="166" t="s">
        <v>2601</v>
      </c>
      <c r="B526" s="238" t="s">
        <v>223</v>
      </c>
      <c r="C526" s="19" t="s">
        <v>1565</v>
      </c>
      <c r="D526" s="369">
        <v>188.5</v>
      </c>
      <c r="E526" s="332">
        <f>E524</f>
        <v>290.32734629873335</v>
      </c>
      <c r="F526" s="394">
        <f t="shared" si="4"/>
        <v>54726.704777311235</v>
      </c>
    </row>
    <row r="527" spans="1:6" s="63" customFormat="1" ht="14.25">
      <c r="A527" s="166" t="s">
        <v>2602</v>
      </c>
      <c r="B527" s="270" t="s">
        <v>224</v>
      </c>
      <c r="C527" s="19" t="s">
        <v>1565</v>
      </c>
      <c r="D527" s="369">
        <v>38.5</v>
      </c>
      <c r="E527" s="332">
        <f>E524</f>
        <v>290.32734629873335</v>
      </c>
      <c r="F527" s="394">
        <f t="shared" si="4"/>
        <v>11177.602832501234</v>
      </c>
    </row>
    <row r="528" spans="1:6" s="63" customFormat="1" ht="12.75">
      <c r="A528" s="166"/>
      <c r="B528" s="270"/>
      <c r="C528" s="19"/>
      <c r="D528" s="369"/>
      <c r="E528" s="332"/>
      <c r="F528" s="394">
        <f t="shared" si="4"/>
        <v>0</v>
      </c>
    </row>
    <row r="529" spans="1:6" s="63" customFormat="1" ht="38.25">
      <c r="A529" s="166"/>
      <c r="B529" s="49" t="s">
        <v>1527</v>
      </c>
      <c r="C529" s="19"/>
      <c r="D529" s="369"/>
      <c r="E529" s="332"/>
      <c r="F529" s="394">
        <f t="shared" si="4"/>
        <v>0</v>
      </c>
    </row>
    <row r="530" spans="1:6" s="63" customFormat="1" ht="12.75">
      <c r="A530" s="166"/>
      <c r="B530" s="270"/>
      <c r="C530" s="19"/>
      <c r="D530" s="369"/>
      <c r="E530" s="332"/>
      <c r="F530" s="394">
        <f t="shared" si="4"/>
        <v>0</v>
      </c>
    </row>
    <row r="531" spans="1:6" s="63" customFormat="1" ht="12.75">
      <c r="A531" s="166" t="s">
        <v>2603</v>
      </c>
      <c r="B531" s="270" t="s">
        <v>1529</v>
      </c>
      <c r="C531" s="19" t="s">
        <v>86</v>
      </c>
      <c r="D531" s="369">
        <v>643</v>
      </c>
      <c r="E531" s="332">
        <f>'Cost break dow.'!V125</f>
        <v>28.227542033120493</v>
      </c>
      <c r="F531" s="394">
        <f t="shared" si="4"/>
        <v>18150.30952729648</v>
      </c>
    </row>
    <row r="532" spans="1:6" s="63" customFormat="1" ht="12.75">
      <c r="A532" s="166" t="s">
        <v>2604</v>
      </c>
      <c r="B532" s="270" t="s">
        <v>225</v>
      </c>
      <c r="C532" s="19" t="s">
        <v>86</v>
      </c>
      <c r="D532" s="369">
        <v>683</v>
      </c>
      <c r="E532" s="332">
        <f>E531</f>
        <v>28.227542033120493</v>
      </c>
      <c r="F532" s="394">
        <f t="shared" si="4"/>
        <v>19279.411208621295</v>
      </c>
    </row>
    <row r="533" spans="1:6" s="63" customFormat="1" ht="12.75">
      <c r="A533" s="166" t="s">
        <v>2605</v>
      </c>
      <c r="B533" s="270" t="s">
        <v>226</v>
      </c>
      <c r="C533" s="19" t="s">
        <v>86</v>
      </c>
      <c r="D533" s="369">
        <v>434</v>
      </c>
      <c r="E533" s="332">
        <f>E531</f>
        <v>28.227542033120493</v>
      </c>
      <c r="F533" s="394">
        <f t="shared" si="4"/>
        <v>12250.753242374294</v>
      </c>
    </row>
    <row r="534" spans="1:6" s="63" customFormat="1" ht="12.75">
      <c r="A534" s="166" t="s">
        <v>2606</v>
      </c>
      <c r="B534" s="270" t="s">
        <v>2283</v>
      </c>
      <c r="C534" s="19" t="s">
        <v>86</v>
      </c>
      <c r="D534" s="369">
        <v>169</v>
      </c>
      <c r="E534" s="332">
        <f>E531</f>
        <v>28.227542033120493</v>
      </c>
      <c r="F534" s="394">
        <f t="shared" si="4"/>
        <v>4770.4546035973635</v>
      </c>
    </row>
    <row r="535" spans="1:6" s="63" customFormat="1" ht="12.75">
      <c r="A535" s="166"/>
      <c r="B535" s="270"/>
      <c r="C535" s="19"/>
      <c r="D535" s="369"/>
      <c r="E535" s="332"/>
      <c r="F535" s="394">
        <f t="shared" si="4"/>
        <v>0</v>
      </c>
    </row>
    <row r="536" spans="1:6" s="63" customFormat="1" ht="12.75">
      <c r="A536" s="168"/>
      <c r="B536" s="272" t="s">
        <v>2284</v>
      </c>
      <c r="C536" s="19"/>
      <c r="D536" s="369"/>
      <c r="E536" s="332"/>
      <c r="F536" s="394">
        <f t="shared" si="4"/>
        <v>0</v>
      </c>
    </row>
    <row r="537" spans="1:6" s="63" customFormat="1" ht="14.25">
      <c r="A537" s="166" t="s">
        <v>2607</v>
      </c>
      <c r="B537" s="49" t="s">
        <v>2285</v>
      </c>
      <c r="C537" s="19" t="s">
        <v>1565</v>
      </c>
      <c r="D537" s="369">
        <v>9.1</v>
      </c>
      <c r="E537" s="332">
        <f>'Cost break dow.'!V181</f>
        <v>586.8867679931943</v>
      </c>
      <c r="F537" s="492">
        <f t="shared" si="4"/>
        <v>5340.669588738068</v>
      </c>
    </row>
    <row r="538" spans="1:6" s="63" customFormat="1" ht="12.75">
      <c r="A538" s="166"/>
      <c r="B538" s="49"/>
      <c r="C538" s="19"/>
      <c r="D538" s="369"/>
      <c r="E538" s="332"/>
      <c r="F538" s="492">
        <f aca="true" t="shared" si="5" ref="F538:F565">D538*E538</f>
        <v>0</v>
      </c>
    </row>
    <row r="539" spans="1:6" s="63" customFormat="1" ht="12.75">
      <c r="A539" s="168"/>
      <c r="B539" s="272" t="s">
        <v>2286</v>
      </c>
      <c r="C539" s="19"/>
      <c r="D539" s="369"/>
      <c r="E539" s="332"/>
      <c r="F539" s="492">
        <f t="shared" si="5"/>
        <v>0</v>
      </c>
    </row>
    <row r="540" spans="1:6" s="63" customFormat="1" ht="69.75" customHeight="1">
      <c r="A540" s="166" t="s">
        <v>2608</v>
      </c>
      <c r="B540" s="49" t="s">
        <v>278</v>
      </c>
      <c r="C540" s="19"/>
      <c r="D540" s="369"/>
      <c r="E540" s="332"/>
      <c r="F540" s="492">
        <f t="shared" si="5"/>
        <v>0</v>
      </c>
    </row>
    <row r="541" spans="1:6" s="63" customFormat="1" ht="12.75">
      <c r="A541" s="166"/>
      <c r="B541" s="49"/>
      <c r="C541" s="19"/>
      <c r="D541" s="369"/>
      <c r="E541" s="332"/>
      <c r="F541" s="492">
        <f t="shared" si="5"/>
        <v>0</v>
      </c>
    </row>
    <row r="542" spans="1:6" s="63" customFormat="1" ht="12.75">
      <c r="A542" s="166"/>
      <c r="B542" s="273" t="s">
        <v>279</v>
      </c>
      <c r="C542" s="19" t="s">
        <v>2850</v>
      </c>
      <c r="D542" s="369">
        <v>1</v>
      </c>
      <c r="E542" s="332">
        <f>2.5*2.1*'Cost break dow.'!V298</f>
        <v>5188.3443111594825</v>
      </c>
      <c r="F542" s="492">
        <f t="shared" si="5"/>
        <v>5188.3443111594825</v>
      </c>
    </row>
    <row r="543" spans="1:6" s="63" customFormat="1" ht="12.75">
      <c r="A543" s="166"/>
      <c r="B543" s="238" t="s">
        <v>280</v>
      </c>
      <c r="C543" s="19" t="s">
        <v>2850</v>
      </c>
      <c r="D543" s="369">
        <v>1</v>
      </c>
      <c r="E543" s="332">
        <f>1.25*'Cost break dow.'!V306</f>
        <v>1134.194232835591</v>
      </c>
      <c r="F543" s="492">
        <f t="shared" si="5"/>
        <v>1134.194232835591</v>
      </c>
    </row>
    <row r="544" spans="1:6" s="63" customFormat="1" ht="12.75">
      <c r="A544" s="166"/>
      <c r="B544" s="238"/>
      <c r="C544" s="19"/>
      <c r="D544" s="369"/>
      <c r="E544" s="332"/>
      <c r="F544" s="492">
        <f t="shared" si="5"/>
        <v>0</v>
      </c>
    </row>
    <row r="545" spans="1:6" s="63" customFormat="1" ht="51">
      <c r="A545" s="166" t="s">
        <v>2609</v>
      </c>
      <c r="B545" s="274" t="s">
        <v>281</v>
      </c>
      <c r="C545" s="19" t="s">
        <v>1565</v>
      </c>
      <c r="D545" s="369">
        <v>7</v>
      </c>
      <c r="E545" s="332">
        <f>0.005*7850*25</f>
        <v>981.25</v>
      </c>
      <c r="F545" s="492">
        <f t="shared" si="5"/>
        <v>6868.75</v>
      </c>
    </row>
    <row r="546" spans="1:6" s="63" customFormat="1" ht="12.75">
      <c r="A546" s="166"/>
      <c r="B546" s="238"/>
      <c r="C546" s="19"/>
      <c r="D546" s="369"/>
      <c r="E546" s="332"/>
      <c r="F546" s="492">
        <f t="shared" si="5"/>
        <v>0</v>
      </c>
    </row>
    <row r="547" spans="1:6" s="63" customFormat="1" ht="25.5">
      <c r="A547" s="166" t="s">
        <v>2610</v>
      </c>
      <c r="B547" s="274" t="s">
        <v>2793</v>
      </c>
      <c r="C547" s="19" t="s">
        <v>2850</v>
      </c>
      <c r="D547" s="369">
        <v>18</v>
      </c>
      <c r="E547" s="332">
        <f>2.46*1.2*12</f>
        <v>35.424</v>
      </c>
      <c r="F547" s="492">
        <f t="shared" si="5"/>
        <v>637.632</v>
      </c>
    </row>
    <row r="548" spans="1:6" s="63" customFormat="1" ht="12.75">
      <c r="A548" s="166"/>
      <c r="B548" s="274"/>
      <c r="C548" s="19"/>
      <c r="D548" s="369"/>
      <c r="E548" s="332"/>
      <c r="F548" s="492">
        <f t="shared" si="5"/>
        <v>0</v>
      </c>
    </row>
    <row r="549" spans="1:6" ht="12.75">
      <c r="A549" s="146"/>
      <c r="B549" s="275" t="s">
        <v>2794</v>
      </c>
      <c r="C549" s="2"/>
      <c r="D549" s="336"/>
      <c r="E549" s="332"/>
      <c r="F549" s="492">
        <f t="shared" si="5"/>
        <v>0</v>
      </c>
    </row>
    <row r="550" spans="1:6" ht="38.25">
      <c r="A550" s="127" t="s">
        <v>2611</v>
      </c>
      <c r="B550" s="71" t="s">
        <v>1441</v>
      </c>
      <c r="C550" s="19" t="s">
        <v>1565</v>
      </c>
      <c r="D550" s="336">
        <v>160</v>
      </c>
      <c r="E550" s="332">
        <f>'Cost break dow.'!V336</f>
        <v>159.96728093410925</v>
      </c>
      <c r="F550" s="492">
        <f t="shared" si="5"/>
        <v>25594.76494945748</v>
      </c>
    </row>
    <row r="551" spans="1:6" ht="12.75">
      <c r="A551" s="127"/>
      <c r="B551" s="71"/>
      <c r="C551" s="2"/>
      <c r="D551" s="336"/>
      <c r="E551" s="332"/>
      <c r="F551" s="492">
        <f t="shared" si="5"/>
        <v>0</v>
      </c>
    </row>
    <row r="552" spans="1:6" ht="14.25">
      <c r="A552" s="119" t="s">
        <v>2612</v>
      </c>
      <c r="B552" s="71" t="s">
        <v>1442</v>
      </c>
      <c r="C552" s="19" t="s">
        <v>1565</v>
      </c>
      <c r="D552" s="336">
        <v>35.5</v>
      </c>
      <c r="E552" s="332">
        <f>'Cost break dow.'!V400</f>
        <v>148.86720127658813</v>
      </c>
      <c r="F552" s="492">
        <f t="shared" si="5"/>
        <v>5284.785645318879</v>
      </c>
    </row>
    <row r="553" spans="1:6" ht="12.75">
      <c r="A553" s="119"/>
      <c r="B553" s="71"/>
      <c r="C553" s="2"/>
      <c r="D553" s="336"/>
      <c r="E553" s="332"/>
      <c r="F553" s="492">
        <f t="shared" si="5"/>
        <v>0</v>
      </c>
    </row>
    <row r="554" spans="1:6" ht="25.5">
      <c r="A554" s="119" t="s">
        <v>2613</v>
      </c>
      <c r="B554" s="71" t="s">
        <v>2581</v>
      </c>
      <c r="C554" s="19" t="s">
        <v>1565</v>
      </c>
      <c r="D554" s="336">
        <v>35.5</v>
      </c>
      <c r="E554" s="332">
        <v>120</v>
      </c>
      <c r="F554" s="492">
        <f t="shared" si="5"/>
        <v>4260</v>
      </c>
    </row>
    <row r="555" spans="1:6" ht="12.75">
      <c r="A555" s="119"/>
      <c r="B555" s="71"/>
      <c r="C555" s="2"/>
      <c r="D555" s="336"/>
      <c r="E555" s="332"/>
      <c r="F555" s="492">
        <f t="shared" si="5"/>
        <v>0</v>
      </c>
    </row>
    <row r="556" spans="1:6" ht="18" customHeight="1">
      <c r="A556" s="119" t="s">
        <v>2614</v>
      </c>
      <c r="B556" s="71" t="s">
        <v>2582</v>
      </c>
      <c r="C556" s="19" t="s">
        <v>1565</v>
      </c>
      <c r="D556" s="336">
        <v>35.5</v>
      </c>
      <c r="E556" s="332">
        <f>E552*0.3/0.5</f>
        <v>89.32032076595287</v>
      </c>
      <c r="F556" s="394">
        <f t="shared" si="5"/>
        <v>3170.871387191327</v>
      </c>
    </row>
    <row r="557" spans="1:6" ht="12.75">
      <c r="A557" s="119"/>
      <c r="B557" s="71"/>
      <c r="C557" s="2"/>
      <c r="D557" s="336"/>
      <c r="E557" s="332"/>
      <c r="F557" s="394">
        <f t="shared" si="5"/>
        <v>0</v>
      </c>
    </row>
    <row r="558" spans="1:6" ht="38.25">
      <c r="A558" s="145" t="s">
        <v>2615</v>
      </c>
      <c r="B558" s="71" t="s">
        <v>2583</v>
      </c>
      <c r="C558" s="19" t="s">
        <v>1565</v>
      </c>
      <c r="D558" s="336">
        <v>35.5</v>
      </c>
      <c r="E558" s="332">
        <f>'Cost break dow.'!V374</f>
        <v>0</v>
      </c>
      <c r="F558" s="492">
        <f t="shared" si="5"/>
        <v>0</v>
      </c>
    </row>
    <row r="559" spans="1:6" ht="12.75">
      <c r="A559" s="119"/>
      <c r="B559" s="71"/>
      <c r="C559" s="2"/>
      <c r="D559" s="336"/>
      <c r="E559" s="332"/>
      <c r="F559" s="492">
        <f t="shared" si="5"/>
        <v>0</v>
      </c>
    </row>
    <row r="560" spans="1:6" ht="12.75">
      <c r="A560" s="119"/>
      <c r="B560" s="275" t="s">
        <v>2584</v>
      </c>
      <c r="C560" s="2"/>
      <c r="D560" s="336"/>
      <c r="E560" s="332"/>
      <c r="F560" s="492">
        <f t="shared" si="5"/>
        <v>0</v>
      </c>
    </row>
    <row r="561" spans="1:6" ht="25.5">
      <c r="A561" s="119" t="s">
        <v>2616</v>
      </c>
      <c r="B561" s="71" t="s">
        <v>2585</v>
      </c>
      <c r="C561" s="2" t="s">
        <v>92</v>
      </c>
      <c r="D561" s="336">
        <v>35.5</v>
      </c>
      <c r="E561" s="332">
        <f>0.002*0.25*7850*30</f>
        <v>117.75000000000001</v>
      </c>
      <c r="F561" s="492">
        <f t="shared" si="5"/>
        <v>4180.125000000001</v>
      </c>
    </row>
    <row r="562" spans="1:6" s="63" customFormat="1" ht="12.75">
      <c r="A562" s="166"/>
      <c r="B562" s="270"/>
      <c r="C562" s="19"/>
      <c r="D562" s="369"/>
      <c r="E562" s="332"/>
      <c r="F562" s="492">
        <f t="shared" si="5"/>
        <v>0</v>
      </c>
    </row>
    <row r="563" spans="1:6" s="63" customFormat="1" ht="25.5">
      <c r="A563" s="166" t="s">
        <v>2617</v>
      </c>
      <c r="B563" s="49" t="s">
        <v>2586</v>
      </c>
      <c r="C563" s="19" t="s">
        <v>1565</v>
      </c>
      <c r="D563" s="369">
        <v>35.5</v>
      </c>
      <c r="E563" s="332">
        <v>30</v>
      </c>
      <c r="F563" s="492">
        <f t="shared" si="5"/>
        <v>1065</v>
      </c>
    </row>
    <row r="564" spans="1:6" s="63" customFormat="1" ht="12.75">
      <c r="A564" s="166"/>
      <c r="B564" s="49"/>
      <c r="C564" s="2"/>
      <c r="D564" s="369"/>
      <c r="E564" s="332"/>
      <c r="F564" s="492">
        <f t="shared" si="5"/>
        <v>0</v>
      </c>
    </row>
    <row r="565" spans="1:6" s="63" customFormat="1" ht="25.5">
      <c r="A565" s="166" t="s">
        <v>2618</v>
      </c>
      <c r="B565" s="71" t="s">
        <v>2587</v>
      </c>
      <c r="C565" s="19" t="s">
        <v>2850</v>
      </c>
      <c r="D565" s="369">
        <v>1</v>
      </c>
      <c r="E565" s="332">
        <v>300</v>
      </c>
      <c r="F565" s="492">
        <f t="shared" si="5"/>
        <v>300</v>
      </c>
    </row>
    <row r="566" spans="1:6" s="63" customFormat="1" ht="12.75">
      <c r="A566" s="166"/>
      <c r="B566" s="270"/>
      <c r="C566" s="19"/>
      <c r="D566" s="369"/>
      <c r="E566" s="332"/>
      <c r="F566" s="380"/>
    </row>
    <row r="567" spans="2:6" s="27" customFormat="1" ht="13.5" thickBot="1">
      <c r="B567" s="51" t="s">
        <v>1066</v>
      </c>
      <c r="D567" s="44"/>
      <c r="E567" s="44"/>
      <c r="F567" s="395">
        <f>SUM(F473:F566)</f>
        <v>398734.30610309634</v>
      </c>
    </row>
    <row r="568" spans="1:6" s="182" customFormat="1" ht="13.5" thickTop="1">
      <c r="A568" s="177"/>
      <c r="D568" s="217"/>
      <c r="E568" s="389"/>
      <c r="F568" s="390"/>
    </row>
    <row r="569" spans="1:6" s="182" customFormat="1" ht="12.75">
      <c r="A569" s="177"/>
      <c r="C569" s="191"/>
      <c r="D569" s="220"/>
      <c r="E569" s="332"/>
      <c r="F569" s="396"/>
    </row>
    <row r="570" spans="1:6" s="182" customFormat="1" ht="12.75">
      <c r="A570" s="177"/>
      <c r="C570" s="197"/>
      <c r="D570" s="218"/>
      <c r="E570" s="397"/>
      <c r="F570" s="398"/>
    </row>
    <row r="571" spans="1:6" s="182" customFormat="1" ht="12.75">
      <c r="A571" s="177"/>
      <c r="C571" s="191"/>
      <c r="D571" s="220"/>
      <c r="E571" s="332"/>
      <c r="F571" s="396"/>
    </row>
    <row r="572" spans="1:6" s="182" customFormat="1" ht="12.75">
      <c r="A572" s="177"/>
      <c r="C572" s="197"/>
      <c r="D572" s="218"/>
      <c r="E572" s="397"/>
      <c r="F572" s="399"/>
    </row>
    <row r="573" spans="1:6" s="182" customFormat="1" ht="12.75">
      <c r="A573" s="177"/>
      <c r="C573" s="197"/>
      <c r="D573" s="218"/>
      <c r="E573" s="397"/>
      <c r="F573" s="399"/>
    </row>
    <row r="574" spans="1:6" s="182" customFormat="1" ht="12.75">
      <c r="A574" s="177"/>
      <c r="D574" s="218"/>
      <c r="E574" s="389"/>
      <c r="F574" s="398"/>
    </row>
    <row r="575" spans="1:6" s="182" customFormat="1" ht="12.75">
      <c r="A575" s="177"/>
      <c r="D575" s="217"/>
      <c r="E575" s="389"/>
      <c r="F575" s="398"/>
    </row>
    <row r="576" spans="1:6" s="182" customFormat="1" ht="12.75">
      <c r="A576" s="177"/>
      <c r="D576" s="217"/>
      <c r="E576" s="389"/>
      <c r="F576" s="398"/>
    </row>
    <row r="577" spans="1:6" s="182" customFormat="1" ht="12.75">
      <c r="A577" s="177"/>
      <c r="B577" s="212"/>
      <c r="C577" s="197"/>
      <c r="D577" s="218"/>
      <c r="E577" s="397"/>
      <c r="F577" s="399"/>
    </row>
    <row r="578" spans="1:6" s="182" customFormat="1" ht="12.75">
      <c r="A578" s="177"/>
      <c r="B578" s="212"/>
      <c r="C578" s="197"/>
      <c r="D578" s="218"/>
      <c r="E578" s="397"/>
      <c r="F578" s="399"/>
    </row>
    <row r="579" spans="1:6" s="182" customFormat="1" ht="12.75">
      <c r="A579" s="177"/>
      <c r="B579" s="212"/>
      <c r="C579" s="197"/>
      <c r="D579" s="218"/>
      <c r="E579" s="397"/>
      <c r="F579" s="399"/>
    </row>
    <row r="580" spans="1:6" s="182" customFormat="1" ht="12.75">
      <c r="A580" s="177"/>
      <c r="B580" s="212"/>
      <c r="C580" s="197"/>
      <c r="D580" s="218"/>
      <c r="E580" s="397"/>
      <c r="F580" s="399"/>
    </row>
    <row r="581" spans="1:6" s="182" customFormat="1" ht="12.75">
      <c r="A581" s="177"/>
      <c r="B581" s="212"/>
      <c r="C581" s="197"/>
      <c r="D581" s="218"/>
      <c r="E581" s="397"/>
      <c r="F581" s="398"/>
    </row>
    <row r="582" spans="1:6" s="182" customFormat="1" ht="12.75">
      <c r="A582" s="177"/>
      <c r="D582" s="217"/>
      <c r="E582" s="389"/>
      <c r="F582" s="398"/>
    </row>
    <row r="583" spans="1:6" s="182" customFormat="1" ht="38.25" customHeight="1">
      <c r="A583" s="177"/>
      <c r="B583" s="211"/>
      <c r="C583" s="209"/>
      <c r="D583" s="378"/>
      <c r="E583" s="400"/>
      <c r="F583" s="401"/>
    </row>
    <row r="584" spans="1:6" s="182" customFormat="1" ht="12.75">
      <c r="A584" s="177"/>
      <c r="B584" s="211"/>
      <c r="C584" s="211"/>
      <c r="D584" s="205"/>
      <c r="E584" s="389"/>
      <c r="F584" s="402"/>
    </row>
    <row r="585" spans="1:6" s="182" customFormat="1" ht="63" customHeight="1">
      <c r="A585" s="177"/>
      <c r="B585" s="211"/>
      <c r="C585" s="209"/>
      <c r="D585" s="378"/>
      <c r="E585" s="400"/>
      <c r="F585" s="401"/>
    </row>
    <row r="586" spans="1:6" s="182" customFormat="1" ht="12.75">
      <c r="A586" s="177"/>
      <c r="B586" s="211"/>
      <c r="C586" s="178"/>
      <c r="D586" s="189"/>
      <c r="E586" s="378"/>
      <c r="F586" s="401"/>
    </row>
    <row r="587" spans="1:6" s="182" customFormat="1" ht="12.75">
      <c r="A587" s="177"/>
      <c r="B587" s="211"/>
      <c r="C587" s="209"/>
      <c r="D587" s="378"/>
      <c r="E587" s="400"/>
      <c r="F587" s="401"/>
    </row>
    <row r="588" spans="1:6" s="182" customFormat="1" ht="12.75">
      <c r="A588" s="177"/>
      <c r="B588" s="211"/>
      <c r="D588" s="217"/>
      <c r="E588" s="389"/>
      <c r="F588" s="402"/>
    </row>
    <row r="589" spans="1:6" s="182" customFormat="1" ht="12.75">
      <c r="A589" s="177"/>
      <c r="B589" s="196"/>
      <c r="D589" s="217"/>
      <c r="E589" s="389"/>
      <c r="F589" s="398"/>
    </row>
    <row r="590" spans="1:6" s="182" customFormat="1" ht="12.75">
      <c r="A590" s="186"/>
      <c r="B590" s="54"/>
      <c r="C590" s="54"/>
      <c r="D590" s="57"/>
      <c r="E590" s="390"/>
      <c r="F590" s="390"/>
    </row>
    <row r="591" spans="1:6" s="182" customFormat="1" ht="12.75">
      <c r="A591" s="186"/>
      <c r="B591" s="54"/>
      <c r="C591" s="54"/>
      <c r="D591" s="57"/>
      <c r="E591" s="390"/>
      <c r="F591" s="390"/>
    </row>
    <row r="592" spans="1:6" s="182" customFormat="1" ht="12.75">
      <c r="A592" s="177"/>
      <c r="B592" s="216"/>
      <c r="C592" s="217"/>
      <c r="D592" s="217"/>
      <c r="E592" s="389"/>
      <c r="F592" s="390"/>
    </row>
    <row r="593" spans="1:6" s="182" customFormat="1" ht="12.75">
      <c r="A593" s="177"/>
      <c r="B593" s="205"/>
      <c r="C593" s="217"/>
      <c r="D593" s="217"/>
      <c r="E593" s="389"/>
      <c r="F593" s="390"/>
    </row>
    <row r="594" spans="1:6" s="182" customFormat="1" ht="12.75">
      <c r="A594" s="177"/>
      <c r="B594" s="205"/>
      <c r="C594" s="217"/>
      <c r="D594" s="217"/>
      <c r="E594" s="389"/>
      <c r="F594" s="390"/>
    </row>
    <row r="595" spans="1:6" s="182" customFormat="1" ht="12.75">
      <c r="A595" s="177"/>
      <c r="B595" s="217"/>
      <c r="C595" s="218"/>
      <c r="D595" s="218"/>
      <c r="E595" s="397"/>
      <c r="F595" s="398"/>
    </row>
    <row r="596" spans="1:6" s="182" customFormat="1" ht="12.75">
      <c r="A596" s="177"/>
      <c r="B596" s="217"/>
      <c r="C596" s="218"/>
      <c r="D596" s="218"/>
      <c r="E596" s="397"/>
      <c r="F596" s="398"/>
    </row>
    <row r="597" spans="1:6" s="182" customFormat="1" ht="12.75">
      <c r="A597" s="177"/>
      <c r="B597" s="217"/>
      <c r="C597" s="218"/>
      <c r="D597" s="218"/>
      <c r="E597" s="397"/>
      <c r="F597" s="398"/>
    </row>
    <row r="598" spans="1:6" s="182" customFormat="1" ht="12.75">
      <c r="A598" s="177"/>
      <c r="B598" s="217"/>
      <c r="C598" s="218"/>
      <c r="D598" s="218"/>
      <c r="E598" s="397"/>
      <c r="F598" s="398"/>
    </row>
    <row r="599" spans="1:6" s="182" customFormat="1" ht="12.75">
      <c r="A599" s="177"/>
      <c r="C599" s="197"/>
      <c r="D599" s="217"/>
      <c r="E599" s="389"/>
      <c r="F599" s="390"/>
    </row>
    <row r="600" spans="1:6" s="182" customFormat="1" ht="12.75">
      <c r="A600" s="177"/>
      <c r="B600" s="205"/>
      <c r="C600" s="217"/>
      <c r="D600" s="217"/>
      <c r="E600" s="389"/>
      <c r="F600" s="390"/>
    </row>
    <row r="601" spans="1:6" s="179" customFormat="1" ht="12.75">
      <c r="A601" s="177"/>
      <c r="B601" s="216"/>
      <c r="C601" s="189"/>
      <c r="D601" s="189"/>
      <c r="E601" s="302"/>
      <c r="F601" s="380"/>
    </row>
    <row r="602" spans="1:6" s="179" customFormat="1" ht="12.75">
      <c r="A602" s="177"/>
      <c r="B602" s="219"/>
      <c r="C602" s="189"/>
      <c r="D602" s="189"/>
      <c r="E602" s="302"/>
      <c r="F602" s="380"/>
    </row>
    <row r="603" spans="1:6" s="179" customFormat="1" ht="12.75">
      <c r="A603" s="177"/>
      <c r="B603" s="219"/>
      <c r="C603" s="189"/>
      <c r="D603" s="220"/>
      <c r="E603" s="302"/>
      <c r="F603" s="380"/>
    </row>
    <row r="604" spans="1:6" s="179" customFormat="1" ht="12.75">
      <c r="A604" s="177"/>
      <c r="B604" s="219"/>
      <c r="C604" s="189"/>
      <c r="D604" s="220"/>
      <c r="E604" s="302"/>
      <c r="F604" s="380"/>
    </row>
    <row r="605" spans="1:6" s="179" customFormat="1" ht="12.75">
      <c r="A605" s="177"/>
      <c r="B605" s="217"/>
      <c r="C605" s="221"/>
      <c r="D605" s="189"/>
      <c r="E605" s="379"/>
      <c r="F605" s="380"/>
    </row>
    <row r="606" spans="1:6" s="179" customFormat="1" ht="12.75">
      <c r="A606" s="177"/>
      <c r="B606" s="216"/>
      <c r="C606" s="189"/>
      <c r="D606" s="189"/>
      <c r="E606" s="302"/>
      <c r="F606" s="380"/>
    </row>
    <row r="607" spans="1:6" s="179" customFormat="1" ht="12.75">
      <c r="A607" s="177"/>
      <c r="B607" s="216"/>
      <c r="C607" s="189"/>
      <c r="D607" s="220"/>
      <c r="E607" s="302"/>
      <c r="F607" s="380"/>
    </row>
    <row r="608" spans="1:6" s="179" customFormat="1" ht="12.75">
      <c r="A608" s="177"/>
      <c r="B608" s="216"/>
      <c r="C608" s="189"/>
      <c r="D608" s="218"/>
      <c r="E608" s="302"/>
      <c r="F608" s="380"/>
    </row>
    <row r="609" spans="1:6" s="179" customFormat="1" ht="12.75">
      <c r="A609" s="177"/>
      <c r="B609" s="205"/>
      <c r="C609" s="221"/>
      <c r="D609" s="189"/>
      <c r="E609" s="379"/>
      <c r="F609" s="380"/>
    </row>
    <row r="610" spans="1:6" s="179" customFormat="1" ht="12.75">
      <c r="A610" s="177"/>
      <c r="B610" s="190"/>
      <c r="C610" s="189"/>
      <c r="D610" s="189"/>
      <c r="E610" s="302"/>
      <c r="F610" s="380"/>
    </row>
    <row r="611" spans="1:6" s="225" customFormat="1" ht="12.75">
      <c r="A611" s="222"/>
      <c r="B611" s="223"/>
      <c r="C611" s="224"/>
      <c r="D611" s="224"/>
      <c r="E611" s="403"/>
      <c r="F611" s="404"/>
    </row>
    <row r="612" spans="1:6" s="179" customFormat="1" ht="12.75">
      <c r="A612" s="177"/>
      <c r="B612" s="217"/>
      <c r="C612" s="189"/>
      <c r="D612" s="226"/>
      <c r="E612" s="368"/>
      <c r="F612" s="317"/>
    </row>
    <row r="613" spans="1:6" s="179" customFormat="1" ht="12.75">
      <c r="A613" s="227"/>
      <c r="B613" s="228"/>
      <c r="C613" s="189"/>
      <c r="D613" s="189"/>
      <c r="E613" s="302"/>
      <c r="F613" s="380"/>
    </row>
    <row r="614" spans="1:6" s="179" customFormat="1" ht="12.75">
      <c r="A614" s="227"/>
      <c r="B614" s="228"/>
      <c r="D614" s="228"/>
      <c r="E614" s="228"/>
      <c r="F614" s="405"/>
    </row>
    <row r="615" spans="1:6" s="179" customFormat="1" ht="12.75">
      <c r="A615" s="227"/>
      <c r="D615" s="228"/>
      <c r="E615" s="368"/>
      <c r="F615" s="317"/>
    </row>
    <row r="616" spans="1:6" s="179" customFormat="1" ht="78.75" customHeight="1">
      <c r="A616" s="177"/>
      <c r="B616" s="182"/>
      <c r="C616" s="189"/>
      <c r="D616" s="189"/>
      <c r="E616" s="302"/>
      <c r="F616" s="380"/>
    </row>
    <row r="617" spans="1:6" s="179" customFormat="1" ht="12.75">
      <c r="A617" s="177"/>
      <c r="B617" s="190"/>
      <c r="D617" s="228"/>
      <c r="E617" s="368"/>
      <c r="F617" s="317"/>
    </row>
    <row r="618" spans="1:6" s="179" customFormat="1" ht="103.5" customHeight="1">
      <c r="A618" s="177"/>
      <c r="B618" s="201"/>
      <c r="C618" s="229"/>
      <c r="D618" s="221"/>
      <c r="E618" s="302"/>
      <c r="F618" s="380"/>
    </row>
    <row r="619" spans="1:6" s="179" customFormat="1" ht="12.75">
      <c r="A619" s="177"/>
      <c r="B619" s="190"/>
      <c r="C619" s="189"/>
      <c r="D619" s="189"/>
      <c r="E619" s="302"/>
      <c r="F619" s="380"/>
    </row>
    <row r="620" spans="1:6" s="179" customFormat="1" ht="12.75">
      <c r="A620" s="177"/>
      <c r="B620" s="190"/>
      <c r="C620" s="191"/>
      <c r="D620" s="221"/>
      <c r="E620" s="302"/>
      <c r="F620" s="380"/>
    </row>
    <row r="621" spans="1:6" s="179" customFormat="1" ht="12.75">
      <c r="A621" s="230"/>
      <c r="B621" s="182"/>
      <c r="C621" s="189"/>
      <c r="D621" s="220"/>
      <c r="E621" s="332"/>
      <c r="F621" s="403"/>
    </row>
    <row r="622" spans="1:6" s="179" customFormat="1" ht="12.75">
      <c r="A622" s="230"/>
      <c r="B622" s="182"/>
      <c r="C622" s="189"/>
      <c r="D622" s="220"/>
      <c r="E622" s="332"/>
      <c r="F622" s="403"/>
    </row>
    <row r="623" spans="1:6" s="179" customFormat="1" ht="12.75">
      <c r="A623" s="180"/>
      <c r="B623" s="231"/>
      <c r="C623" s="220"/>
      <c r="D623" s="220"/>
      <c r="E623" s="332"/>
      <c r="F623" s="403"/>
    </row>
    <row r="624" spans="1:6" s="179" customFormat="1" ht="12.75">
      <c r="A624" s="203"/>
      <c r="B624" s="201"/>
      <c r="C624" s="189"/>
      <c r="D624" s="189"/>
      <c r="E624" s="302"/>
      <c r="F624" s="401"/>
    </row>
    <row r="625" spans="1:6" s="179" customFormat="1" ht="12.75">
      <c r="A625" s="227"/>
      <c r="B625" s="228"/>
      <c r="C625" s="220"/>
      <c r="D625" s="220"/>
      <c r="E625" s="332"/>
      <c r="F625" s="403"/>
    </row>
    <row r="626" spans="1:6" s="179" customFormat="1" ht="12.75">
      <c r="A626" s="232"/>
      <c r="B626" s="205"/>
      <c r="C626" s="189"/>
      <c r="D626" s="189"/>
      <c r="E626" s="302"/>
      <c r="F626" s="401"/>
    </row>
    <row r="627" spans="1:6" s="179" customFormat="1" ht="12.75">
      <c r="A627" s="227"/>
      <c r="B627" s="228"/>
      <c r="C627" s="220"/>
      <c r="D627" s="220"/>
      <c r="E627" s="332"/>
      <c r="F627" s="403"/>
    </row>
    <row r="628" spans="1:6" s="179" customFormat="1" ht="12.75">
      <c r="A628" s="203"/>
      <c r="B628" s="217"/>
      <c r="C628" s="220"/>
      <c r="D628" s="220"/>
      <c r="E628" s="302"/>
      <c r="F628" s="401"/>
    </row>
    <row r="629" spans="1:6" s="179" customFormat="1" ht="12.75">
      <c r="A629" s="227"/>
      <c r="B629" s="228"/>
      <c r="C629" s="220"/>
      <c r="D629" s="220"/>
      <c r="E629" s="332"/>
      <c r="F629" s="403"/>
    </row>
    <row r="630" spans="1:6" s="179" customFormat="1" ht="12.75">
      <c r="A630" s="203"/>
      <c r="B630" s="205"/>
      <c r="C630" s="189"/>
      <c r="D630" s="189"/>
      <c r="E630" s="302"/>
      <c r="F630" s="401"/>
    </row>
    <row r="631" spans="1:6" s="179" customFormat="1" ht="12.75">
      <c r="A631" s="227"/>
      <c r="B631" s="228"/>
      <c r="C631" s="220"/>
      <c r="D631" s="220"/>
      <c r="E631" s="332"/>
      <c r="F631" s="403"/>
    </row>
    <row r="632" spans="1:6" s="182" customFormat="1" ht="12.75">
      <c r="A632" s="203"/>
      <c r="B632" s="205"/>
      <c r="C632" s="189"/>
      <c r="D632" s="189"/>
      <c r="E632" s="314"/>
      <c r="F632" s="401"/>
    </row>
    <row r="633" spans="1:6" s="182" customFormat="1" ht="12.75">
      <c r="A633" s="230"/>
      <c r="B633" s="217"/>
      <c r="C633" s="217"/>
      <c r="D633" s="217"/>
      <c r="E633" s="389"/>
      <c r="F633" s="390"/>
    </row>
    <row r="634" spans="1:6" s="182" customFormat="1" ht="12.75">
      <c r="A634" s="203"/>
      <c r="B634" s="205"/>
      <c r="C634" s="189"/>
      <c r="D634" s="189"/>
      <c r="E634" s="314"/>
      <c r="F634" s="401"/>
    </row>
    <row r="635" spans="1:6" s="182" customFormat="1" ht="12.75">
      <c r="A635" s="199"/>
      <c r="B635" s="46"/>
      <c r="C635" s="46"/>
      <c r="D635" s="236"/>
      <c r="E635" s="394"/>
      <c r="F635" s="394"/>
    </row>
    <row r="636" spans="1:6" s="182" customFormat="1" ht="12.75">
      <c r="A636" s="230"/>
      <c r="B636" s="204"/>
      <c r="C636" s="217"/>
      <c r="D636" s="217"/>
      <c r="E636" s="389"/>
      <c r="F636" s="390"/>
    </row>
    <row r="637" spans="1:6" s="182" customFormat="1" ht="29.25" customHeight="1">
      <c r="A637" s="203"/>
      <c r="B637" s="205"/>
      <c r="C637" s="189"/>
      <c r="D637" s="189"/>
      <c r="E637" s="314"/>
      <c r="F637" s="401"/>
    </row>
    <row r="638" spans="1:6" s="182" customFormat="1" ht="12.75">
      <c r="A638" s="230"/>
      <c r="B638" s="217"/>
      <c r="C638" s="217"/>
      <c r="D638" s="217"/>
      <c r="E638" s="389"/>
      <c r="F638" s="390"/>
    </row>
    <row r="639" spans="1:6" s="182" customFormat="1" ht="12.75">
      <c r="A639" s="203"/>
      <c r="B639" s="205"/>
      <c r="C639" s="217"/>
      <c r="D639" s="217"/>
      <c r="E639" s="389"/>
      <c r="F639" s="390"/>
    </row>
    <row r="640" spans="1:6" s="182" customFormat="1" ht="12.75">
      <c r="A640" s="203"/>
      <c r="B640" s="205"/>
      <c r="C640" s="217"/>
      <c r="D640" s="217"/>
      <c r="E640" s="389"/>
      <c r="F640" s="390"/>
    </row>
    <row r="641" spans="1:6" s="182" customFormat="1" ht="12.75">
      <c r="A641" s="230"/>
      <c r="B641" s="205"/>
      <c r="C641" s="233"/>
      <c r="D641" s="233"/>
      <c r="E641" s="406"/>
      <c r="F641" s="402"/>
    </row>
    <row r="642" spans="1:6" s="182" customFormat="1" ht="12.75">
      <c r="A642" s="230"/>
      <c r="B642" s="205"/>
      <c r="C642" s="233"/>
      <c r="D642" s="233"/>
      <c r="E642" s="406"/>
      <c r="F642" s="402"/>
    </row>
    <row r="643" spans="1:6" s="182" customFormat="1" ht="13.5" customHeight="1">
      <c r="A643" s="230"/>
      <c r="B643" s="205"/>
      <c r="C643" s="189"/>
      <c r="D643" s="189"/>
      <c r="E643" s="314"/>
      <c r="F643" s="401"/>
    </row>
    <row r="644" spans="1:6" s="182" customFormat="1" ht="12.75">
      <c r="A644" s="230"/>
      <c r="B644" s="205"/>
      <c r="C644" s="189"/>
      <c r="D644" s="189"/>
      <c r="E644" s="314"/>
      <c r="F644" s="401"/>
    </row>
    <row r="645" spans="1:6" s="182" customFormat="1" ht="10.5" customHeight="1">
      <c r="A645" s="230"/>
      <c r="B645" s="217"/>
      <c r="C645" s="217"/>
      <c r="D645" s="217"/>
      <c r="E645" s="389"/>
      <c r="F645" s="390"/>
    </row>
    <row r="646" spans="1:6" s="182" customFormat="1" ht="12.75">
      <c r="A646" s="203"/>
      <c r="B646" s="205"/>
      <c r="C646" s="217"/>
      <c r="D646" s="217"/>
      <c r="E646" s="389"/>
      <c r="F646" s="390"/>
    </row>
    <row r="647" spans="1:6" s="182" customFormat="1" ht="10.5" customHeight="1">
      <c r="A647" s="203"/>
      <c r="B647" s="205"/>
      <c r="C647" s="217"/>
      <c r="D647" s="217"/>
      <c r="E647" s="389"/>
      <c r="F647" s="390"/>
    </row>
    <row r="648" spans="1:6" s="182" customFormat="1" ht="12.75">
      <c r="A648" s="230"/>
      <c r="B648" s="205"/>
      <c r="C648" s="233"/>
      <c r="D648" s="233"/>
      <c r="E648" s="406"/>
      <c r="F648" s="402"/>
    </row>
    <row r="649" spans="1:6" s="182" customFormat="1" ht="12.75">
      <c r="A649" s="230"/>
      <c r="B649" s="205"/>
      <c r="C649" s="233"/>
      <c r="D649" s="233"/>
      <c r="E649" s="406"/>
      <c r="F649" s="402"/>
    </row>
    <row r="650" spans="1:6" s="182" customFormat="1" ht="12.75">
      <c r="A650" s="230"/>
      <c r="B650" s="205"/>
      <c r="C650" s="233"/>
      <c r="D650" s="233"/>
      <c r="E650" s="406"/>
      <c r="F650" s="402"/>
    </row>
    <row r="651" spans="1:6" s="182" customFormat="1" ht="12.75">
      <c r="A651" s="230"/>
      <c r="B651" s="205"/>
      <c r="C651" s="233"/>
      <c r="D651" s="233"/>
      <c r="E651" s="406"/>
      <c r="F651" s="402"/>
    </row>
    <row r="652" spans="1:6" s="182" customFormat="1" ht="10.5" customHeight="1">
      <c r="A652" s="230"/>
      <c r="B652" s="217"/>
      <c r="C652" s="217"/>
      <c r="D652" s="218"/>
      <c r="E652" s="389"/>
      <c r="F652" s="398"/>
    </row>
    <row r="653" spans="1:6" s="182" customFormat="1" ht="12.75">
      <c r="A653" s="203"/>
      <c r="B653" s="205"/>
      <c r="C653" s="217"/>
      <c r="D653" s="217"/>
      <c r="E653" s="389"/>
      <c r="F653" s="398"/>
    </row>
    <row r="654" spans="1:6" s="182" customFormat="1" ht="12.75">
      <c r="A654" s="230"/>
      <c r="B654" s="205"/>
      <c r="C654" s="233"/>
      <c r="D654" s="233"/>
      <c r="E654" s="406"/>
      <c r="F654" s="402"/>
    </row>
    <row r="655" spans="1:6" s="182" customFormat="1" ht="12.75">
      <c r="A655" s="230"/>
      <c r="B655" s="205"/>
      <c r="C655" s="233"/>
      <c r="D655" s="233"/>
      <c r="E655" s="406"/>
      <c r="F655" s="402"/>
    </row>
    <row r="656" spans="1:6" s="182" customFormat="1" ht="12.75">
      <c r="A656" s="230"/>
      <c r="B656" s="205"/>
      <c r="C656" s="233"/>
      <c r="D656" s="233"/>
      <c r="E656" s="406"/>
      <c r="F656" s="402"/>
    </row>
    <row r="657" spans="1:6" s="182" customFormat="1" ht="10.5" customHeight="1">
      <c r="A657" s="230"/>
      <c r="B657" s="205"/>
      <c r="C657" s="233"/>
      <c r="D657" s="233"/>
      <c r="E657" s="406"/>
      <c r="F657" s="402"/>
    </row>
    <row r="658" spans="1:6" s="182" customFormat="1" ht="12.75">
      <c r="A658" s="230"/>
      <c r="B658" s="234"/>
      <c r="C658" s="217"/>
      <c r="D658" s="217"/>
      <c r="E658" s="389"/>
      <c r="F658" s="390"/>
    </row>
    <row r="659" spans="1:6" s="182" customFormat="1" ht="12.75">
      <c r="A659" s="230"/>
      <c r="B659" s="205"/>
      <c r="C659" s="189"/>
      <c r="D659" s="189"/>
      <c r="E659" s="314"/>
      <c r="F659" s="401"/>
    </row>
    <row r="660" spans="1:6" s="182" customFormat="1" ht="9.75" customHeight="1">
      <c r="A660" s="235"/>
      <c r="B660" s="236"/>
      <c r="C660" s="236"/>
      <c r="D660" s="236"/>
      <c r="E660" s="394"/>
      <c r="F660" s="394"/>
    </row>
    <row r="661" spans="1:6" s="182" customFormat="1" ht="12.75">
      <c r="A661" s="230"/>
      <c r="B661" s="216"/>
      <c r="C661" s="205"/>
      <c r="D661" s="205"/>
      <c r="E661" s="407"/>
      <c r="F661" s="394"/>
    </row>
    <row r="662" spans="1:6" s="182" customFormat="1" ht="12.75">
      <c r="A662" s="203"/>
      <c r="B662" s="205"/>
      <c r="C662" s="189"/>
      <c r="D662" s="189"/>
      <c r="E662" s="314"/>
      <c r="F662" s="401"/>
    </row>
    <row r="663" spans="1:6" s="182" customFormat="1" ht="10.5" customHeight="1">
      <c r="A663" s="230"/>
      <c r="B663" s="217"/>
      <c r="C663" s="217"/>
      <c r="D663" s="217"/>
      <c r="E663" s="389"/>
      <c r="F663" s="390"/>
    </row>
    <row r="664" spans="1:6" s="182" customFormat="1" ht="12.75">
      <c r="A664" s="230"/>
      <c r="B664" s="234"/>
      <c r="C664" s="217"/>
      <c r="D664" s="217"/>
      <c r="E664" s="389"/>
      <c r="F664" s="390"/>
    </row>
    <row r="665" spans="1:6" s="182" customFormat="1" ht="12.75">
      <c r="A665" s="203"/>
      <c r="B665" s="217"/>
      <c r="C665" s="189"/>
      <c r="D665" s="220"/>
      <c r="E665" s="314"/>
      <c r="F665" s="401"/>
    </row>
    <row r="666" spans="1:6" s="182" customFormat="1" ht="9.75" customHeight="1">
      <c r="A666" s="230"/>
      <c r="B666" s="217"/>
      <c r="C666" s="217"/>
      <c r="D666" s="218"/>
      <c r="E666" s="389"/>
      <c r="F666" s="390"/>
    </row>
    <row r="667" spans="1:6" s="182" customFormat="1" ht="12.75">
      <c r="A667" s="203"/>
      <c r="B667" s="205"/>
      <c r="C667" s="233"/>
      <c r="D667" s="233"/>
      <c r="E667" s="406"/>
      <c r="F667" s="402"/>
    </row>
    <row r="668" spans="1:6" s="182" customFormat="1" ht="9.75" customHeight="1">
      <c r="A668" s="230"/>
      <c r="B668" s="217"/>
      <c r="C668" s="218"/>
      <c r="D668" s="218"/>
      <c r="E668" s="406"/>
      <c r="F668" s="398"/>
    </row>
    <row r="669" spans="1:6" s="182" customFormat="1" ht="12.75">
      <c r="A669" s="230"/>
      <c r="B669" s="234"/>
      <c r="C669" s="218"/>
      <c r="D669" s="218"/>
      <c r="E669" s="406"/>
      <c r="F669" s="398"/>
    </row>
    <row r="670" spans="1:6" s="182" customFormat="1" ht="12.75">
      <c r="A670" s="203"/>
      <c r="B670" s="205"/>
      <c r="C670" s="189"/>
      <c r="D670" s="189"/>
      <c r="E670" s="314"/>
      <c r="F670" s="401"/>
    </row>
    <row r="671" spans="1:6" s="182" customFormat="1" ht="10.5" customHeight="1">
      <c r="A671" s="230"/>
      <c r="B671" s="205"/>
      <c r="C671" s="205"/>
      <c r="D671" s="205"/>
      <c r="E671" s="407"/>
      <c r="F671" s="394"/>
    </row>
    <row r="672" spans="1:6" s="182" customFormat="1" ht="12.75">
      <c r="A672" s="203"/>
      <c r="B672" s="205"/>
      <c r="C672" s="233"/>
      <c r="D672" s="233"/>
      <c r="E672" s="406"/>
      <c r="F672" s="402"/>
    </row>
    <row r="673" spans="1:6" s="179" customFormat="1" ht="10.5" customHeight="1">
      <c r="A673" s="227"/>
      <c r="B673" s="231"/>
      <c r="C673" s="189"/>
      <c r="D673" s="189"/>
      <c r="E673" s="378"/>
      <c r="F673" s="401"/>
    </row>
    <row r="674" spans="1:6" s="182" customFormat="1" ht="12.75">
      <c r="A674" s="199"/>
      <c r="B674" s="205"/>
      <c r="C674" s="189"/>
      <c r="D674" s="189"/>
      <c r="E674" s="314"/>
      <c r="F674" s="401"/>
    </row>
    <row r="675" spans="1:6" s="182" customFormat="1" ht="12.75">
      <c r="A675" s="199"/>
      <c r="B675" s="205"/>
      <c r="C675" s="46"/>
      <c r="D675" s="236"/>
      <c r="E675" s="394"/>
      <c r="F675" s="394"/>
    </row>
    <row r="676" spans="1:6" s="179" customFormat="1" ht="12.75">
      <c r="A676" s="227"/>
      <c r="B676" s="237"/>
      <c r="C676" s="189"/>
      <c r="D676" s="189"/>
      <c r="E676" s="378"/>
      <c r="F676" s="401"/>
    </row>
    <row r="677" spans="1:6" s="179" customFormat="1" ht="12" customHeight="1">
      <c r="A677" s="227"/>
      <c r="B677" s="237"/>
      <c r="C677" s="189"/>
      <c r="D677" s="189"/>
      <c r="E677" s="378"/>
      <c r="F677" s="401"/>
    </row>
    <row r="678" spans="1:6" s="179" customFormat="1" ht="12.75">
      <c r="A678" s="227"/>
      <c r="B678" s="16"/>
      <c r="C678" s="220"/>
      <c r="D678" s="220"/>
      <c r="E678" s="332"/>
      <c r="F678" s="403"/>
    </row>
    <row r="679" ht="12.75">
      <c r="F679" s="408"/>
    </row>
    <row r="680" ht="12.75">
      <c r="F680" s="408"/>
    </row>
    <row r="681" ht="12.75">
      <c r="F681" s="408"/>
    </row>
    <row r="682" ht="12.75">
      <c r="F682" s="408"/>
    </row>
    <row r="683" ht="12.75">
      <c r="F683" s="408"/>
    </row>
    <row r="684" ht="12.75">
      <c r="F684" s="408"/>
    </row>
    <row r="685" ht="12.75">
      <c r="F685" s="408"/>
    </row>
    <row r="686" ht="12.75">
      <c r="F686" s="408"/>
    </row>
    <row r="687" ht="12.75">
      <c r="F687" s="408"/>
    </row>
    <row r="688" ht="12.75">
      <c r="F688" s="408"/>
    </row>
    <row r="689" ht="12.75">
      <c r="F689" s="408"/>
    </row>
    <row r="690" ht="12.75">
      <c r="F690" s="408"/>
    </row>
    <row r="691" ht="12.75">
      <c r="F691" s="408"/>
    </row>
    <row r="692" ht="12.75">
      <c r="F692" s="408"/>
    </row>
    <row r="693" ht="12.75">
      <c r="F693" s="408"/>
    </row>
    <row r="694" ht="12.75">
      <c r="F694" s="408"/>
    </row>
    <row r="695" ht="12.75">
      <c r="F695" s="408"/>
    </row>
    <row r="696" ht="12.75">
      <c r="F696" s="408"/>
    </row>
    <row r="697" ht="12.75">
      <c r="F697" s="408"/>
    </row>
    <row r="698" ht="12.75">
      <c r="F698" s="408"/>
    </row>
    <row r="699" ht="12.75">
      <c r="F699" s="408"/>
    </row>
    <row r="700" ht="12.75">
      <c r="F700" s="408"/>
    </row>
    <row r="701" ht="12.75">
      <c r="F701" s="408"/>
    </row>
    <row r="702" ht="12.75">
      <c r="F702" s="408"/>
    </row>
    <row r="703" ht="12.75">
      <c r="F703" s="408"/>
    </row>
    <row r="704" ht="12.75">
      <c r="F704" s="408"/>
    </row>
    <row r="705" ht="12.75">
      <c r="F705" s="408"/>
    </row>
    <row r="706" ht="12.75">
      <c r="F706" s="408"/>
    </row>
    <row r="707" ht="12.75">
      <c r="F707" s="408"/>
    </row>
    <row r="708" ht="12.75">
      <c r="F708" s="408"/>
    </row>
    <row r="709" ht="12.75">
      <c r="F709" s="408"/>
    </row>
    <row r="710" ht="12.75">
      <c r="F710" s="408"/>
    </row>
    <row r="711" ht="12.75">
      <c r="F711" s="408"/>
    </row>
    <row r="712" ht="12.75">
      <c r="F712" s="408"/>
    </row>
    <row r="713" ht="12.75">
      <c r="F713" s="408"/>
    </row>
    <row r="714" ht="12.75">
      <c r="F714" s="408"/>
    </row>
    <row r="715" ht="12.75">
      <c r="F715" s="408"/>
    </row>
    <row r="716" ht="12.75">
      <c r="F716" s="408"/>
    </row>
    <row r="717" ht="12.75">
      <c r="F717" s="408"/>
    </row>
    <row r="718" ht="12.75">
      <c r="F718" s="408"/>
    </row>
    <row r="719" ht="12.75">
      <c r="F719" s="408"/>
    </row>
    <row r="720" ht="12.75">
      <c r="F720" s="408"/>
    </row>
    <row r="721" ht="12.75">
      <c r="F721" s="408"/>
    </row>
    <row r="722" ht="12.75">
      <c r="F722" s="408"/>
    </row>
    <row r="723" ht="12.75">
      <c r="F723" s="408"/>
    </row>
    <row r="724" ht="12.75">
      <c r="F724" s="408"/>
    </row>
    <row r="725" ht="12.75">
      <c r="F725" s="408"/>
    </row>
    <row r="726" ht="12.75">
      <c r="F726" s="408"/>
    </row>
    <row r="727" ht="12.75">
      <c r="F727" s="408"/>
    </row>
    <row r="728" ht="12.75">
      <c r="F728" s="408"/>
    </row>
    <row r="729" ht="12.75">
      <c r="F729" s="408"/>
    </row>
    <row r="730" ht="12.75">
      <c r="F730" s="408"/>
    </row>
    <row r="731" ht="12.75">
      <c r="F731" s="408"/>
    </row>
    <row r="732" ht="12.75">
      <c r="F732" s="408"/>
    </row>
    <row r="733" ht="12.75">
      <c r="F733" s="408"/>
    </row>
    <row r="734" ht="12.75">
      <c r="F734" s="408"/>
    </row>
    <row r="735" ht="12.75">
      <c r="F735" s="408"/>
    </row>
    <row r="736" ht="12.75">
      <c r="F736" s="408"/>
    </row>
    <row r="737" ht="12.75">
      <c r="F737" s="408"/>
    </row>
    <row r="738" ht="12.75">
      <c r="F738" s="408"/>
    </row>
    <row r="739" ht="12.75">
      <c r="F739" s="408"/>
    </row>
    <row r="740" ht="12.75">
      <c r="F740" s="408"/>
    </row>
    <row r="741" ht="12.75">
      <c r="F741" s="408"/>
    </row>
    <row r="742" ht="12.75">
      <c r="F742" s="408"/>
    </row>
    <row r="743" ht="12.75">
      <c r="F743" s="408"/>
    </row>
    <row r="744" ht="12.75">
      <c r="F744" s="408"/>
    </row>
    <row r="745" ht="12.75">
      <c r="F745" s="408"/>
    </row>
    <row r="746" ht="12.75">
      <c r="F746" s="408"/>
    </row>
    <row r="747" ht="12.75">
      <c r="F747" s="408"/>
    </row>
    <row r="748" ht="12.75">
      <c r="F748" s="408"/>
    </row>
    <row r="749" ht="12.75">
      <c r="F749" s="408"/>
    </row>
    <row r="750" ht="12.75">
      <c r="F750" s="408"/>
    </row>
    <row r="751" ht="12.75">
      <c r="F751" s="408"/>
    </row>
    <row r="752" ht="12.75">
      <c r="F752" s="408"/>
    </row>
    <row r="753" ht="12.75">
      <c r="F753" s="408"/>
    </row>
    <row r="754" ht="12.75">
      <c r="F754" s="408"/>
    </row>
    <row r="755" ht="12.75">
      <c r="F755" s="408"/>
    </row>
    <row r="756" ht="12.75">
      <c r="F756" s="408"/>
    </row>
    <row r="757" ht="12.75">
      <c r="F757" s="408"/>
    </row>
    <row r="758" ht="12.75">
      <c r="F758" s="408"/>
    </row>
    <row r="759" ht="12.75">
      <c r="F759" s="408"/>
    </row>
    <row r="760" ht="12.75">
      <c r="F760" s="408"/>
    </row>
    <row r="761" ht="12.75">
      <c r="F761" s="408"/>
    </row>
    <row r="762" ht="12.75">
      <c r="F762" s="408"/>
    </row>
    <row r="763" ht="12.75">
      <c r="F763" s="408"/>
    </row>
    <row r="764" ht="12.75">
      <c r="F764" s="408"/>
    </row>
    <row r="765" ht="12.75">
      <c r="F765" s="408"/>
    </row>
    <row r="766" ht="12.75">
      <c r="F766" s="408"/>
    </row>
    <row r="767" ht="12.75">
      <c r="F767" s="408"/>
    </row>
    <row r="768" ht="12.75">
      <c r="F768" s="408"/>
    </row>
    <row r="769" ht="12.75">
      <c r="F769" s="408"/>
    </row>
    <row r="770" ht="12.75">
      <c r="F770" s="408"/>
    </row>
    <row r="771" ht="12.75">
      <c r="F771" s="408"/>
    </row>
    <row r="772" ht="12.75">
      <c r="F772" s="408"/>
    </row>
    <row r="773" ht="12.75">
      <c r="F773" s="408"/>
    </row>
    <row r="774" ht="12.75">
      <c r="F774" s="408"/>
    </row>
    <row r="775" ht="12.75">
      <c r="F775" s="408"/>
    </row>
    <row r="776" ht="12.75">
      <c r="F776" s="408"/>
    </row>
    <row r="777" ht="12.75">
      <c r="F777" s="408"/>
    </row>
    <row r="778" ht="12.75">
      <c r="F778" s="408"/>
    </row>
    <row r="779" ht="12.75">
      <c r="F779" s="408"/>
    </row>
    <row r="780" ht="12.75">
      <c r="F780" s="408"/>
    </row>
    <row r="781" ht="12.75">
      <c r="F781" s="408"/>
    </row>
    <row r="782" ht="12.75">
      <c r="F782" s="408"/>
    </row>
    <row r="783" ht="12.75">
      <c r="F783" s="408"/>
    </row>
    <row r="784" ht="12.75">
      <c r="F784" s="408"/>
    </row>
    <row r="785" ht="12.75">
      <c r="F785" s="408"/>
    </row>
    <row r="786" ht="12.75">
      <c r="F786" s="408"/>
    </row>
    <row r="787" ht="12.75">
      <c r="F787" s="408"/>
    </row>
    <row r="788" ht="12.75">
      <c r="F788" s="408"/>
    </row>
    <row r="789" ht="12.75">
      <c r="F789" s="408"/>
    </row>
    <row r="790" ht="12.75">
      <c r="F790" s="408"/>
    </row>
    <row r="791" ht="12.75">
      <c r="F791" s="408"/>
    </row>
    <row r="792" ht="12.75">
      <c r="F792" s="408"/>
    </row>
    <row r="793" ht="12.75">
      <c r="F793" s="408"/>
    </row>
    <row r="794" ht="12.75">
      <c r="F794" s="408"/>
    </row>
    <row r="795" ht="12.75">
      <c r="F795" s="408"/>
    </row>
    <row r="796" ht="12.75">
      <c r="F796" s="408"/>
    </row>
    <row r="797" ht="12.75">
      <c r="F797" s="408"/>
    </row>
    <row r="798" ht="12.75">
      <c r="F798" s="408"/>
    </row>
    <row r="799" ht="12.75">
      <c r="F799" s="408"/>
    </row>
    <row r="800" ht="12.75">
      <c r="F800" s="408"/>
    </row>
    <row r="801" ht="12.75">
      <c r="F801" s="408"/>
    </row>
    <row r="802" ht="12.75">
      <c r="F802" s="408"/>
    </row>
    <row r="803" ht="12.75">
      <c r="F803" s="408"/>
    </row>
    <row r="804" ht="12.75">
      <c r="F804" s="408"/>
    </row>
    <row r="805" ht="12.75">
      <c r="F805" s="408"/>
    </row>
    <row r="806" ht="12.75">
      <c r="F806" s="408"/>
    </row>
    <row r="807" ht="12.75">
      <c r="F807" s="408"/>
    </row>
    <row r="808" ht="12.75">
      <c r="F808" s="408"/>
    </row>
    <row r="809" ht="12.75">
      <c r="F809" s="408"/>
    </row>
    <row r="810" ht="12.75">
      <c r="F810" s="408"/>
    </row>
    <row r="811" ht="12.75">
      <c r="F811" s="408"/>
    </row>
    <row r="812" ht="12.75">
      <c r="F812" s="408"/>
    </row>
    <row r="813" ht="12.75">
      <c r="F813" s="408"/>
    </row>
    <row r="814" ht="12.75">
      <c r="F814" s="408"/>
    </row>
    <row r="815" ht="12.75">
      <c r="F815" s="408"/>
    </row>
    <row r="816" ht="12.75">
      <c r="F816" s="408"/>
    </row>
    <row r="817" ht="12.75">
      <c r="F817" s="408"/>
    </row>
    <row r="818" ht="12.75">
      <c r="F818" s="408"/>
    </row>
    <row r="819" ht="12.75">
      <c r="F819" s="408"/>
    </row>
    <row r="820" ht="12.75">
      <c r="F820" s="408"/>
    </row>
    <row r="821" ht="12.75">
      <c r="F821" s="408"/>
    </row>
    <row r="822" ht="12.75">
      <c r="F822" s="408"/>
    </row>
    <row r="823" ht="12.75">
      <c r="F823" s="408"/>
    </row>
    <row r="824" ht="12.75">
      <c r="F824" s="408"/>
    </row>
    <row r="825" ht="12.75">
      <c r="F825" s="408"/>
    </row>
    <row r="826" ht="12.75">
      <c r="F826" s="408"/>
    </row>
    <row r="827" ht="12.75">
      <c r="F827" s="408"/>
    </row>
    <row r="828" ht="12.75">
      <c r="F828" s="408"/>
    </row>
    <row r="829" ht="12.75">
      <c r="F829" s="408"/>
    </row>
    <row r="830" ht="12.75">
      <c r="F830" s="408"/>
    </row>
    <row r="831" ht="12.75">
      <c r="F831" s="408"/>
    </row>
    <row r="832" ht="12.75">
      <c r="F832" s="408"/>
    </row>
    <row r="833" ht="12.75">
      <c r="F833" s="408"/>
    </row>
    <row r="834" ht="12.75">
      <c r="F834" s="408"/>
    </row>
    <row r="835" ht="12.75">
      <c r="F835" s="408"/>
    </row>
    <row r="836" ht="12.75">
      <c r="F836" s="408"/>
    </row>
    <row r="837" ht="12.75">
      <c r="F837" s="408"/>
    </row>
    <row r="838" ht="12.75">
      <c r="F838" s="408"/>
    </row>
    <row r="839" ht="12.75">
      <c r="F839" s="408"/>
    </row>
    <row r="840" ht="12.75">
      <c r="F840" s="408"/>
    </row>
    <row r="841" ht="12.75">
      <c r="F841" s="408"/>
    </row>
    <row r="842" ht="12.75">
      <c r="F842" s="408"/>
    </row>
    <row r="843" ht="12.75">
      <c r="F843" s="408"/>
    </row>
    <row r="844" ht="12.75">
      <c r="F844" s="408"/>
    </row>
    <row r="845" ht="12.75">
      <c r="F845" s="408"/>
    </row>
    <row r="846" ht="12.75">
      <c r="F846" s="408"/>
    </row>
    <row r="847" ht="12.75">
      <c r="F847" s="408"/>
    </row>
    <row r="848" ht="12.75">
      <c r="F848" s="408"/>
    </row>
    <row r="849" ht="12.75">
      <c r="F849" s="408"/>
    </row>
    <row r="850" ht="12.75">
      <c r="F850" s="408"/>
    </row>
    <row r="851" ht="12.75">
      <c r="F851" s="408"/>
    </row>
    <row r="852" ht="12.75">
      <c r="F852" s="408"/>
    </row>
    <row r="853" ht="12.75">
      <c r="F853" s="408"/>
    </row>
    <row r="854" ht="12.75">
      <c r="F854" s="408"/>
    </row>
    <row r="855" ht="12.75">
      <c r="F855" s="408"/>
    </row>
    <row r="856" ht="12.75">
      <c r="F856" s="408"/>
    </row>
    <row r="857" ht="12.75">
      <c r="F857" s="408"/>
    </row>
    <row r="858" ht="12.75">
      <c r="F858" s="408"/>
    </row>
    <row r="859" ht="12.75">
      <c r="F859" s="408"/>
    </row>
    <row r="860" ht="12.75">
      <c r="F860" s="408"/>
    </row>
    <row r="861" ht="12.75">
      <c r="F861" s="408"/>
    </row>
    <row r="862" ht="12.75">
      <c r="F862" s="408"/>
    </row>
    <row r="863" ht="12.75">
      <c r="F863" s="408"/>
    </row>
    <row r="864" ht="12.75">
      <c r="F864" s="408"/>
    </row>
    <row r="865" ht="12.75">
      <c r="F865" s="408"/>
    </row>
    <row r="866" ht="12.75">
      <c r="F866" s="408"/>
    </row>
    <row r="867" ht="12.75">
      <c r="F867" s="408"/>
    </row>
    <row r="868" ht="12.75">
      <c r="F868" s="408"/>
    </row>
    <row r="869" ht="12.75">
      <c r="F869" s="408"/>
    </row>
    <row r="870" ht="12.75">
      <c r="F870" s="408"/>
    </row>
    <row r="871" ht="12.75">
      <c r="F871" s="408"/>
    </row>
    <row r="872" ht="12.75">
      <c r="F872" s="408"/>
    </row>
    <row r="873" ht="12.75">
      <c r="F873" s="408"/>
    </row>
    <row r="874" ht="12.75">
      <c r="F874" s="408"/>
    </row>
    <row r="875" ht="12.75">
      <c r="F875" s="408"/>
    </row>
    <row r="876" ht="12.75">
      <c r="F876" s="408"/>
    </row>
    <row r="877" ht="12.75">
      <c r="F877" s="408"/>
    </row>
    <row r="878" ht="12.75">
      <c r="F878" s="408"/>
    </row>
    <row r="879" ht="12.75">
      <c r="F879" s="408"/>
    </row>
    <row r="880" ht="12.75">
      <c r="F880" s="408"/>
    </row>
    <row r="881" ht="12.75">
      <c r="F881" s="408"/>
    </row>
    <row r="882" ht="12.75">
      <c r="F882" s="408"/>
    </row>
    <row r="883" ht="12.75">
      <c r="F883" s="408"/>
    </row>
    <row r="884" ht="12.75">
      <c r="F884" s="408"/>
    </row>
    <row r="885" ht="12.75">
      <c r="F885" s="408"/>
    </row>
    <row r="886" ht="12.75">
      <c r="F886" s="408"/>
    </row>
    <row r="887" ht="12.75">
      <c r="F887" s="408"/>
    </row>
    <row r="888" ht="12.75">
      <c r="F888" s="408"/>
    </row>
    <row r="889" ht="12.75">
      <c r="F889" s="408"/>
    </row>
    <row r="890" ht="12.75">
      <c r="F890" s="408"/>
    </row>
    <row r="891" ht="12.75">
      <c r="F891" s="408"/>
    </row>
    <row r="892" ht="12.75">
      <c r="F892" s="408"/>
    </row>
    <row r="893" ht="12.75">
      <c r="F893" s="408"/>
    </row>
    <row r="894" ht="12.75">
      <c r="F894" s="408"/>
    </row>
    <row r="895" ht="12.75">
      <c r="F895" s="408"/>
    </row>
    <row r="896" ht="12.75">
      <c r="F896" s="408"/>
    </row>
    <row r="897" ht="12.75">
      <c r="F897" s="408"/>
    </row>
    <row r="898" ht="12.75">
      <c r="F898" s="408"/>
    </row>
    <row r="899" ht="12.75">
      <c r="F899" s="408"/>
    </row>
    <row r="900" ht="12.75">
      <c r="F900" s="408"/>
    </row>
    <row r="901" ht="12.75">
      <c r="F901" s="408"/>
    </row>
    <row r="902" ht="12.75">
      <c r="F902" s="408"/>
    </row>
    <row r="903" ht="12.75">
      <c r="F903" s="408"/>
    </row>
    <row r="904" ht="12.75">
      <c r="F904" s="408"/>
    </row>
    <row r="905" ht="12.75">
      <c r="F905" s="408"/>
    </row>
    <row r="906" ht="12.75">
      <c r="F906" s="408"/>
    </row>
    <row r="907" ht="12.75">
      <c r="F907" s="408"/>
    </row>
    <row r="908" ht="12.75">
      <c r="F908" s="408"/>
    </row>
    <row r="909" ht="12.75">
      <c r="F909" s="408"/>
    </row>
    <row r="910" ht="12.75">
      <c r="F910" s="408"/>
    </row>
    <row r="911" ht="12.75">
      <c r="F911" s="408"/>
    </row>
    <row r="912" ht="12.75">
      <c r="F912" s="408"/>
    </row>
    <row r="913" ht="12.75">
      <c r="F913" s="408"/>
    </row>
    <row r="914" ht="12.75">
      <c r="F914" s="408"/>
    </row>
    <row r="915" ht="12.75">
      <c r="F915" s="408"/>
    </row>
    <row r="916" ht="12.75">
      <c r="F916" s="408"/>
    </row>
    <row r="917" ht="12.75">
      <c r="F917" s="408"/>
    </row>
    <row r="918" ht="12.75">
      <c r="F918" s="408"/>
    </row>
    <row r="919" ht="12.75">
      <c r="F919" s="408"/>
    </row>
    <row r="920" ht="12.75">
      <c r="F920" s="408"/>
    </row>
    <row r="921" ht="12.75">
      <c r="F921" s="408"/>
    </row>
    <row r="922" ht="12.75">
      <c r="F922" s="408"/>
    </row>
    <row r="923" ht="12.75">
      <c r="F923" s="408"/>
    </row>
    <row r="924" ht="12.75">
      <c r="F924" s="408"/>
    </row>
    <row r="925" ht="12.75">
      <c r="F925" s="408"/>
    </row>
    <row r="926" ht="12.75">
      <c r="F926" s="408"/>
    </row>
    <row r="927" ht="12.75">
      <c r="F927" s="408"/>
    </row>
    <row r="928" ht="12.75">
      <c r="F928" s="408"/>
    </row>
    <row r="929" ht="12.75">
      <c r="F929" s="408"/>
    </row>
    <row r="930" ht="12.75">
      <c r="F930" s="408"/>
    </row>
    <row r="931" ht="12.75">
      <c r="F931" s="408"/>
    </row>
    <row r="932" ht="12.75">
      <c r="F932" s="408"/>
    </row>
    <row r="933" ht="12.75">
      <c r="F933" s="408"/>
    </row>
    <row r="934" ht="12.75">
      <c r="F934" s="408"/>
    </row>
    <row r="935" ht="12.75">
      <c r="F935" s="408"/>
    </row>
    <row r="936" ht="12.75">
      <c r="F936" s="408"/>
    </row>
    <row r="937" ht="12.75">
      <c r="F937" s="408"/>
    </row>
    <row r="938" ht="12.75">
      <c r="F938" s="408"/>
    </row>
    <row r="939" ht="12.75">
      <c r="F939" s="408"/>
    </row>
    <row r="940" ht="12.75">
      <c r="F940" s="408"/>
    </row>
    <row r="941" ht="12.75">
      <c r="F941" s="408"/>
    </row>
    <row r="942" ht="12.75">
      <c r="F942" s="408"/>
    </row>
    <row r="943" ht="12.75">
      <c r="F943" s="408"/>
    </row>
    <row r="944" ht="12.75">
      <c r="F944" s="408"/>
    </row>
    <row r="945" ht="12.75">
      <c r="F945" s="408"/>
    </row>
    <row r="946" ht="12.75">
      <c r="F946" s="408"/>
    </row>
    <row r="947" ht="12.75">
      <c r="F947" s="408"/>
    </row>
    <row r="948" ht="12.75">
      <c r="F948" s="408"/>
    </row>
    <row r="949" ht="12.75">
      <c r="F949" s="408"/>
    </row>
    <row r="950" ht="12.75">
      <c r="F950" s="408"/>
    </row>
    <row r="951" ht="12.75">
      <c r="F951" s="408"/>
    </row>
    <row r="952" ht="12.75">
      <c r="F952" s="408"/>
    </row>
    <row r="953" ht="12.75">
      <c r="F953" s="408"/>
    </row>
    <row r="954" ht="12.75">
      <c r="F954" s="408"/>
    </row>
    <row r="955" ht="12.75">
      <c r="F955" s="408"/>
    </row>
    <row r="956" ht="12.75">
      <c r="F956" s="408"/>
    </row>
    <row r="957" ht="12.75">
      <c r="F957" s="408"/>
    </row>
    <row r="958" ht="12.75">
      <c r="F958" s="408"/>
    </row>
    <row r="959" ht="12.75">
      <c r="F959" s="408"/>
    </row>
    <row r="960" ht="12.75">
      <c r="F960" s="408"/>
    </row>
    <row r="961" ht="12.75">
      <c r="F961" s="408"/>
    </row>
    <row r="962" ht="12.75">
      <c r="F962" s="408"/>
    </row>
    <row r="963" ht="12.75">
      <c r="F963" s="408"/>
    </row>
    <row r="964" ht="12.75">
      <c r="F964" s="408"/>
    </row>
    <row r="965" ht="12.75">
      <c r="F965" s="408"/>
    </row>
    <row r="966" ht="12.75">
      <c r="F966" s="408"/>
    </row>
    <row r="967" ht="12.75">
      <c r="F967" s="408"/>
    </row>
    <row r="968" ht="12.75">
      <c r="F968" s="408"/>
    </row>
    <row r="969" ht="12.75">
      <c r="F969" s="408"/>
    </row>
    <row r="970" ht="12.75">
      <c r="F970" s="408"/>
    </row>
    <row r="971" ht="12.75">
      <c r="F971" s="408"/>
    </row>
    <row r="972" ht="12.75">
      <c r="F972" s="408"/>
    </row>
    <row r="973" ht="12.75">
      <c r="F973" s="408"/>
    </row>
    <row r="974" ht="12.75">
      <c r="F974" s="408"/>
    </row>
    <row r="975" ht="12.75">
      <c r="F975" s="408"/>
    </row>
    <row r="976" ht="12.75">
      <c r="F976" s="408"/>
    </row>
    <row r="977" ht="12.75">
      <c r="F977" s="408"/>
    </row>
    <row r="978" ht="12.75">
      <c r="F978" s="408"/>
    </row>
    <row r="979" ht="12.75">
      <c r="F979" s="408"/>
    </row>
    <row r="980" ht="12.75">
      <c r="F980" s="408"/>
    </row>
    <row r="981" ht="12.75">
      <c r="F981" s="408"/>
    </row>
    <row r="982" ht="12.75">
      <c r="F982" s="408"/>
    </row>
    <row r="983" ht="12.75">
      <c r="F983" s="408"/>
    </row>
    <row r="984" ht="12.75">
      <c r="F984" s="408"/>
    </row>
    <row r="985" ht="12.75">
      <c r="F985" s="408"/>
    </row>
    <row r="986" ht="12.75">
      <c r="F986" s="408"/>
    </row>
    <row r="987" ht="12.75">
      <c r="F987" s="408"/>
    </row>
    <row r="988" ht="12.75">
      <c r="F988" s="408"/>
    </row>
    <row r="989" ht="12.75">
      <c r="F989" s="408"/>
    </row>
    <row r="990" ht="12.75">
      <c r="F990" s="408"/>
    </row>
    <row r="991" ht="12.75">
      <c r="F991" s="408"/>
    </row>
    <row r="992" ht="12.75">
      <c r="F992" s="408"/>
    </row>
    <row r="993" ht="12.75">
      <c r="F993" s="408"/>
    </row>
    <row r="994" ht="12.75">
      <c r="F994" s="408"/>
    </row>
    <row r="995" ht="12.75">
      <c r="F995" s="408"/>
    </row>
    <row r="996" ht="12.75">
      <c r="F996" s="408"/>
    </row>
    <row r="997" ht="12.75">
      <c r="F997" s="408"/>
    </row>
    <row r="998" ht="12.75">
      <c r="F998" s="408"/>
    </row>
    <row r="999" ht="12.75">
      <c r="F999" s="408"/>
    </row>
    <row r="1000" ht="12.75">
      <c r="F1000" s="408"/>
    </row>
    <row r="1001" ht="12.75">
      <c r="F1001" s="408"/>
    </row>
    <row r="1002" ht="12.75">
      <c r="F1002" s="408"/>
    </row>
    <row r="1003" ht="12.75">
      <c r="F1003" s="408"/>
    </row>
    <row r="1004" ht="12.75">
      <c r="F1004" s="408"/>
    </row>
    <row r="1005" ht="12.75">
      <c r="F1005" s="408"/>
    </row>
    <row r="1006" ht="12.75">
      <c r="F1006" s="408"/>
    </row>
    <row r="1007" ht="12.75">
      <c r="F1007" s="408"/>
    </row>
    <row r="1008" ht="12.75">
      <c r="F1008" s="408"/>
    </row>
    <row r="1009" ht="12.75">
      <c r="F1009" s="408"/>
    </row>
    <row r="1010" ht="12.75">
      <c r="F1010" s="408"/>
    </row>
    <row r="1011" ht="12.75">
      <c r="F1011" s="408"/>
    </row>
    <row r="1012" ht="12.75">
      <c r="F1012" s="408"/>
    </row>
    <row r="1013" ht="12.75">
      <c r="F1013" s="408"/>
    </row>
    <row r="1014" ht="12.75">
      <c r="F1014" s="408"/>
    </row>
    <row r="1015" ht="12.75">
      <c r="F1015" s="408"/>
    </row>
    <row r="1016" ht="12.75">
      <c r="F1016" s="408"/>
    </row>
    <row r="1017" ht="12.75">
      <c r="F1017" s="408"/>
    </row>
    <row r="1018" ht="12.75">
      <c r="F1018" s="408"/>
    </row>
    <row r="1019" ht="12.75">
      <c r="F1019" s="408"/>
    </row>
    <row r="1020" ht="12.75">
      <c r="F1020" s="408"/>
    </row>
    <row r="1021" ht="12.75">
      <c r="F1021" s="408"/>
    </row>
    <row r="1022" ht="12.75">
      <c r="F1022" s="408"/>
    </row>
    <row r="1023" ht="12.75">
      <c r="F1023" s="408"/>
    </row>
    <row r="1024" ht="12.75">
      <c r="F1024" s="408"/>
    </row>
    <row r="1025" ht="12.75">
      <c r="F1025" s="408"/>
    </row>
  </sheetData>
  <sheetProtection/>
  <printOptions/>
  <pageMargins left="0.5" right="0.25" top="1" bottom="1" header="0.5" footer="0.5"/>
  <pageSetup firstPageNumber="111" useFirstPageNumber="1" horizontalDpi="600" verticalDpi="600" orientation="portrait" r:id="rId1"/>
  <rowBreaks count="22" manualBreakCount="22">
    <brk id="19" max="255" man="1"/>
    <brk id="47" max="255" man="1"/>
    <brk id="66" max="255" man="1"/>
    <brk id="86" max="255" man="1"/>
    <brk id="111" max="255" man="1"/>
    <brk id="117" max="255" man="1"/>
    <brk id="143" max="255" man="1"/>
    <brk id="150" max="255" man="1"/>
    <brk id="162" max="255" man="1"/>
    <brk id="179" max="255" man="1"/>
    <brk id="205" max="255" man="1"/>
    <brk id="211" max="255" man="1"/>
    <brk id="224" max="255" man="1"/>
    <brk id="263" max="5" man="1"/>
    <brk id="305" max="5" man="1"/>
    <brk id="345" max="5" man="1"/>
    <brk id="385" max="5" man="1"/>
    <brk id="418" max="5" man="1"/>
    <brk id="462" max="5" man="1"/>
    <brk id="493" max="5" man="1"/>
    <brk id="528" max="5" man="1"/>
    <brk id="559" max="5" man="1"/>
  </rowBreaks>
</worksheet>
</file>

<file path=xl/worksheets/sheet14.xml><?xml version="1.0" encoding="utf-8"?>
<worksheet xmlns="http://schemas.openxmlformats.org/spreadsheetml/2006/main" xmlns:r="http://schemas.openxmlformats.org/officeDocument/2006/relationships">
  <dimension ref="A1:IL690"/>
  <sheetViews>
    <sheetView view="pageBreakPreview" zoomScaleSheetLayoutView="100" zoomScalePageLayoutView="0" workbookViewId="0" topLeftCell="A34">
      <selection activeCell="E11" sqref="E11"/>
    </sheetView>
  </sheetViews>
  <sheetFormatPr defaultColWidth="9.140625" defaultRowHeight="12.75"/>
  <cols>
    <col min="1" max="1" width="7.00390625" style="87" customWidth="1"/>
    <col min="2" max="2" width="45.28125" style="4" customWidth="1"/>
    <col min="3" max="3" width="5.140625" style="2" customWidth="1"/>
    <col min="4" max="4" width="13.421875" style="310" customWidth="1"/>
    <col min="5" max="5" width="11.00390625" style="310" customWidth="1"/>
    <col min="6" max="6" width="12.7109375" style="285" customWidth="1"/>
    <col min="7" max="16384" width="9.140625" style="4" customWidth="1"/>
  </cols>
  <sheetData>
    <row r="1" spans="2:5" ht="11.25" customHeight="1">
      <c r="B1" s="1"/>
      <c r="E1" s="284"/>
    </row>
    <row r="2" spans="1:6" s="7" customFormat="1" ht="18.75" customHeight="1">
      <c r="A2" s="1338" t="s">
        <v>2235</v>
      </c>
      <c r="B2" s="1338"/>
      <c r="C2" s="1338"/>
      <c r="D2" s="1338"/>
      <c r="E2" s="286"/>
      <c r="F2" s="287"/>
    </row>
    <row r="3" spans="1:6" s="7" customFormat="1" ht="15.75" customHeight="1">
      <c r="A3" s="241"/>
      <c r="B3" s="8"/>
      <c r="C3" s="5"/>
      <c r="D3" s="323"/>
      <c r="E3" s="286"/>
      <c r="F3" s="287"/>
    </row>
    <row r="4" spans="1:6" s="7" customFormat="1" ht="12.75">
      <c r="A4" s="85" t="s">
        <v>3149</v>
      </c>
      <c r="B4" s="9" t="s">
        <v>3150</v>
      </c>
      <c r="C4" s="5"/>
      <c r="D4" s="323"/>
      <c r="E4" s="286"/>
      <c r="F4" s="287"/>
    </row>
    <row r="5" spans="1:6" s="7" customFormat="1" ht="9.75" customHeight="1">
      <c r="A5" s="85"/>
      <c r="C5" s="5"/>
      <c r="D5" s="323"/>
      <c r="E5" s="286"/>
      <c r="F5" s="287"/>
    </row>
    <row r="6" spans="1:6" s="7" customFormat="1" ht="12.75">
      <c r="A6" s="85">
        <v>1</v>
      </c>
      <c r="B6" s="7" t="s">
        <v>3151</v>
      </c>
      <c r="C6" s="5" t="s">
        <v>3152</v>
      </c>
      <c r="D6" s="324">
        <f>F68</f>
        <v>232529.36904693246</v>
      </c>
      <c r="E6" s="288"/>
      <c r="F6" s="287"/>
    </row>
    <row r="7" spans="1:6" s="7" customFormat="1" ht="12.75">
      <c r="A7" s="85"/>
      <c r="C7" s="5"/>
      <c r="D7" s="324"/>
      <c r="E7" s="288"/>
      <c r="F7" s="287"/>
    </row>
    <row r="8" spans="1:6" s="7" customFormat="1" ht="12.75">
      <c r="A8" s="85">
        <v>2</v>
      </c>
      <c r="B8" s="7" t="s">
        <v>3153</v>
      </c>
      <c r="C8" s="5" t="s">
        <v>3154</v>
      </c>
      <c r="D8" s="324">
        <f>F112</f>
        <v>562338.6949146272</v>
      </c>
      <c r="E8" s="288"/>
      <c r="F8" s="287"/>
    </row>
    <row r="9" spans="1:6" s="7" customFormat="1" ht="12.75">
      <c r="A9" s="85"/>
      <c r="C9" s="5"/>
      <c r="D9" s="324"/>
      <c r="E9" s="288"/>
      <c r="F9" s="287"/>
    </row>
    <row r="10" spans="1:6" s="7" customFormat="1" ht="12.75">
      <c r="A10" s="85">
        <v>3</v>
      </c>
      <c r="B10" s="10" t="s">
        <v>3155</v>
      </c>
      <c r="C10" s="5" t="s">
        <v>3154</v>
      </c>
      <c r="D10" s="324">
        <f>F118</f>
        <v>52121.1926306512</v>
      </c>
      <c r="E10" s="288"/>
      <c r="F10" s="287"/>
    </row>
    <row r="11" spans="1:6" s="7" customFormat="1" ht="9.75" customHeight="1">
      <c r="A11" s="85"/>
      <c r="C11" s="5"/>
      <c r="D11" s="325"/>
      <c r="E11" s="289"/>
      <c r="F11" s="287"/>
    </row>
    <row r="12" spans="1:6" s="7" customFormat="1" ht="13.5" thickBot="1">
      <c r="A12" s="85"/>
      <c r="B12" s="11" t="s">
        <v>3156</v>
      </c>
      <c r="C12" s="5" t="s">
        <v>3154</v>
      </c>
      <c r="D12" s="326">
        <f>D6+D8+D10</f>
        <v>846989.2565922108</v>
      </c>
      <c r="E12" s="290"/>
      <c r="F12" s="287"/>
    </row>
    <row r="13" spans="1:6" s="7" customFormat="1" ht="10.5" customHeight="1" thickTop="1">
      <c r="A13" s="85"/>
      <c r="C13" s="5"/>
      <c r="D13" s="327"/>
      <c r="E13" s="290"/>
      <c r="F13" s="287"/>
    </row>
    <row r="14" spans="1:6" s="9" customFormat="1" ht="12.75">
      <c r="A14" s="85" t="s">
        <v>3157</v>
      </c>
      <c r="B14" s="9" t="s">
        <v>3158</v>
      </c>
      <c r="C14" s="12"/>
      <c r="D14" s="328"/>
      <c r="E14" s="291"/>
      <c r="F14" s="292"/>
    </row>
    <row r="15" spans="1:6" s="7" customFormat="1" ht="10.5" customHeight="1">
      <c r="A15" s="85"/>
      <c r="C15" s="5"/>
      <c r="D15" s="323"/>
      <c r="E15" s="293"/>
      <c r="F15" s="287"/>
    </row>
    <row r="16" spans="1:6" s="7" customFormat="1" ht="12.75">
      <c r="A16" s="85">
        <v>1</v>
      </c>
      <c r="B16" s="7" t="s">
        <v>3153</v>
      </c>
      <c r="C16" s="5" t="s">
        <v>3152</v>
      </c>
      <c r="D16" s="324">
        <f>F166</f>
        <v>5708523.927905453</v>
      </c>
      <c r="E16" s="288"/>
      <c r="F16" s="287"/>
    </row>
    <row r="17" spans="1:6" s="7" customFormat="1" ht="12.75">
      <c r="A17" s="85"/>
      <c r="C17" s="5"/>
      <c r="D17" s="324"/>
      <c r="E17" s="288"/>
      <c r="F17" s="287"/>
    </row>
    <row r="18" spans="1:6" s="7" customFormat="1" ht="12.75">
      <c r="A18" s="85">
        <v>2</v>
      </c>
      <c r="B18" s="7" t="s">
        <v>3159</v>
      </c>
      <c r="C18" s="5" t="s">
        <v>3154</v>
      </c>
      <c r="D18" s="324">
        <f>F175</f>
        <v>378805.1304307094</v>
      </c>
      <c r="E18" s="288"/>
      <c r="F18" s="287"/>
    </row>
    <row r="19" spans="1:6" s="7" customFormat="1" ht="12.75">
      <c r="A19" s="85"/>
      <c r="C19" s="5"/>
      <c r="D19" s="324"/>
      <c r="E19" s="288"/>
      <c r="F19" s="287"/>
    </row>
    <row r="20" spans="1:6" s="7" customFormat="1" ht="12.75">
      <c r="A20" s="85">
        <v>3</v>
      </c>
      <c r="B20" s="7" t="s">
        <v>3160</v>
      </c>
      <c r="C20" s="5" t="s">
        <v>3154</v>
      </c>
      <c r="D20" s="329">
        <f>F193</f>
        <v>254918.15078438056</v>
      </c>
      <c r="E20" s="290"/>
      <c r="F20" s="287"/>
    </row>
    <row r="21" spans="1:6" s="7" customFormat="1" ht="12.75">
      <c r="A21" s="85"/>
      <c r="C21" s="5"/>
      <c r="D21" s="329"/>
      <c r="E21" s="290"/>
      <c r="F21" s="287"/>
    </row>
    <row r="22" spans="1:6" s="7" customFormat="1" ht="12.75">
      <c r="A22" s="85">
        <v>4</v>
      </c>
      <c r="B22" s="7" t="s">
        <v>3161</v>
      </c>
      <c r="C22" s="5" t="s">
        <v>3154</v>
      </c>
      <c r="D22" s="324">
        <f>F209</f>
        <v>124945.72053741843</v>
      </c>
      <c r="E22" s="288"/>
      <c r="F22" s="287"/>
    </row>
    <row r="23" spans="1:6" s="7" customFormat="1" ht="12.75">
      <c r="A23" s="85"/>
      <c r="C23" s="5"/>
      <c r="D23" s="324"/>
      <c r="E23" s="288"/>
      <c r="F23" s="287"/>
    </row>
    <row r="24" spans="1:6" s="7" customFormat="1" ht="12.75">
      <c r="A24" s="85">
        <v>5</v>
      </c>
      <c r="B24" s="7" t="s">
        <v>3162</v>
      </c>
      <c r="C24" s="5" t="s">
        <v>3154</v>
      </c>
      <c r="D24" s="324">
        <f>F261</f>
        <v>2477352.091695945</v>
      </c>
      <c r="E24" s="288"/>
      <c r="F24" s="287"/>
    </row>
    <row r="25" spans="1:6" s="7" customFormat="1" ht="12.75">
      <c r="A25" s="85"/>
      <c r="C25" s="5"/>
      <c r="D25" s="324"/>
      <c r="E25" s="288"/>
      <c r="F25" s="287"/>
    </row>
    <row r="26" spans="1:6" s="7" customFormat="1" ht="12.75">
      <c r="A26" s="85">
        <v>6</v>
      </c>
      <c r="B26" s="7" t="s">
        <v>3163</v>
      </c>
      <c r="C26" s="5" t="s">
        <v>3154</v>
      </c>
      <c r="D26" s="324">
        <f>F308</f>
        <v>1065525.5660564452</v>
      </c>
      <c r="E26" s="288"/>
      <c r="F26" s="287"/>
    </row>
    <row r="27" spans="1:6" s="7" customFormat="1" ht="12.75">
      <c r="A27" s="85"/>
      <c r="C27" s="5"/>
      <c r="D27" s="324"/>
      <c r="E27" s="288"/>
      <c r="F27" s="287"/>
    </row>
    <row r="28" spans="1:6" s="13" customFormat="1" ht="12.75">
      <c r="A28" s="167">
        <v>7</v>
      </c>
      <c r="B28" s="13" t="s">
        <v>3164</v>
      </c>
      <c r="C28" s="14" t="s">
        <v>3154</v>
      </c>
      <c r="D28" s="329">
        <f>F317</f>
        <v>125427.49453341533</v>
      </c>
      <c r="E28" s="290"/>
      <c r="F28" s="294"/>
    </row>
    <row r="29" spans="1:6" s="13" customFormat="1" ht="12.75">
      <c r="A29" s="167"/>
      <c r="C29" s="14"/>
      <c r="D29" s="329"/>
      <c r="E29" s="290"/>
      <c r="F29" s="294"/>
    </row>
    <row r="30" spans="1:6" s="7" customFormat="1" ht="12.75">
      <c r="A30" s="85">
        <v>8</v>
      </c>
      <c r="B30" s="7" t="s">
        <v>3165</v>
      </c>
      <c r="C30" s="5" t="s">
        <v>3154</v>
      </c>
      <c r="D30" s="324">
        <f>F331</f>
        <v>72315.55628543532</v>
      </c>
      <c r="E30" s="288"/>
      <c r="F30" s="287"/>
    </row>
    <row r="31" spans="1:6" s="7" customFormat="1" ht="12.75">
      <c r="A31" s="85"/>
      <c r="B31" s="4"/>
      <c r="C31" s="5"/>
      <c r="D31" s="324"/>
      <c r="E31" s="288"/>
      <c r="F31" s="287"/>
    </row>
    <row r="32" spans="1:6" s="7" customFormat="1" ht="12.75">
      <c r="A32" s="85">
        <v>9</v>
      </c>
      <c r="B32" s="7" t="s">
        <v>3166</v>
      </c>
      <c r="C32" s="5" t="s">
        <v>3154</v>
      </c>
      <c r="D32" s="324">
        <f>F541</f>
        <v>509224.72732843435</v>
      </c>
      <c r="E32" s="288"/>
      <c r="F32" s="287"/>
    </row>
    <row r="33" spans="1:6" s="7" customFormat="1" ht="12.75">
      <c r="A33" s="85"/>
      <c r="C33" s="5"/>
      <c r="D33" s="324"/>
      <c r="E33" s="288"/>
      <c r="F33" s="287"/>
    </row>
    <row r="34" spans="1:6" s="7" customFormat="1" ht="12.75">
      <c r="A34" s="85">
        <v>10</v>
      </c>
      <c r="B34" s="7" t="s">
        <v>3167</v>
      </c>
      <c r="C34" s="5" t="s">
        <v>3154</v>
      </c>
      <c r="D34" s="324">
        <f>F688</f>
        <v>377256.11552687763</v>
      </c>
      <c r="E34" s="288"/>
      <c r="F34" s="287"/>
    </row>
    <row r="35" spans="1:6" s="7" customFormat="1" ht="11.25" customHeight="1">
      <c r="A35" s="85"/>
      <c r="C35" s="5"/>
      <c r="D35" s="324"/>
      <c r="E35" s="288"/>
      <c r="F35" s="287"/>
    </row>
    <row r="36" spans="1:6" s="7" customFormat="1" ht="10.5" customHeight="1">
      <c r="A36" s="85"/>
      <c r="B36" s="4"/>
      <c r="C36" s="5"/>
      <c r="D36" s="324"/>
      <c r="E36" s="290"/>
      <c r="F36" s="287"/>
    </row>
    <row r="37" spans="1:6" s="7" customFormat="1" ht="13.5" thickBot="1">
      <c r="A37" s="85"/>
      <c r="B37" s="11" t="s">
        <v>3168</v>
      </c>
      <c r="C37" s="5" t="s">
        <v>3154</v>
      </c>
      <c r="D37" s="326">
        <f>SUM(D16:D36)</f>
        <v>11094294.481084516</v>
      </c>
      <c r="E37" s="290"/>
      <c r="F37" s="287"/>
    </row>
    <row r="38" spans="1:6" s="7" customFormat="1" ht="11.25" customHeight="1" thickTop="1">
      <c r="A38" s="85"/>
      <c r="B38" s="11"/>
      <c r="C38" s="5"/>
      <c r="D38" s="330"/>
      <c r="E38" s="290"/>
      <c r="F38" s="287"/>
    </row>
    <row r="39" spans="1:6" s="7" customFormat="1" ht="13.5" thickBot="1">
      <c r="A39" s="85"/>
      <c r="B39" s="11" t="s">
        <v>3169</v>
      </c>
      <c r="C39" s="5" t="s">
        <v>3154</v>
      </c>
      <c r="D39" s="331">
        <f>D37+D12</f>
        <v>11941283.737676727</v>
      </c>
      <c r="E39" s="290"/>
      <c r="F39" s="287"/>
    </row>
    <row r="40" spans="1:6" s="7" customFormat="1" ht="13.5" thickTop="1">
      <c r="A40" s="85"/>
      <c r="B40" s="11"/>
      <c r="C40" s="5"/>
      <c r="D40" s="329"/>
      <c r="E40" s="290"/>
      <c r="F40" s="287"/>
    </row>
    <row r="41" spans="1:6" s="7" customFormat="1" ht="12.75">
      <c r="A41" s="85"/>
      <c r="B41" s="16"/>
      <c r="C41" s="5"/>
      <c r="D41" s="329"/>
      <c r="E41" s="290"/>
      <c r="F41" s="287"/>
    </row>
    <row r="42" spans="1:6" ht="12.75">
      <c r="A42" s="17"/>
      <c r="B42" s="18"/>
      <c r="C42" s="19"/>
      <c r="D42" s="298"/>
      <c r="E42" s="45"/>
      <c r="F42" s="295"/>
    </row>
    <row r="43" spans="1:11" s="7" customFormat="1" ht="12.75">
      <c r="A43" s="21" t="s">
        <v>3174</v>
      </c>
      <c r="B43" s="21" t="s">
        <v>3175</v>
      </c>
      <c r="C43" s="22" t="s">
        <v>3176</v>
      </c>
      <c r="D43" s="296" t="s">
        <v>3177</v>
      </c>
      <c r="E43" s="121" t="s">
        <v>3178</v>
      </c>
      <c r="F43" s="121" t="s">
        <v>3179</v>
      </c>
      <c r="G43" s="13"/>
      <c r="H43" s="13"/>
      <c r="I43" s="13"/>
      <c r="J43" s="13"/>
      <c r="K43" s="13"/>
    </row>
    <row r="44" spans="1:11" s="7" customFormat="1" ht="1.5" customHeight="1">
      <c r="A44" s="21"/>
      <c r="B44" s="24"/>
      <c r="C44" s="22"/>
      <c r="D44" s="296"/>
      <c r="E44" s="296"/>
      <c r="F44" s="297"/>
      <c r="G44" s="13"/>
      <c r="H44" s="13"/>
      <c r="I44" s="13"/>
      <c r="J44" s="13"/>
      <c r="K44" s="13"/>
    </row>
    <row r="45" spans="1:11" ht="12.75">
      <c r="A45" s="17"/>
      <c r="B45" s="18"/>
      <c r="C45" s="19"/>
      <c r="D45" s="298"/>
      <c r="E45" s="298"/>
      <c r="F45" s="295"/>
      <c r="G45" s="18"/>
      <c r="H45" s="18"/>
      <c r="I45" s="18"/>
      <c r="J45" s="18"/>
      <c r="K45" s="18"/>
    </row>
    <row r="46" spans="1:6" ht="12.75">
      <c r="A46" s="242" t="s">
        <v>3149</v>
      </c>
      <c r="B46" s="25" t="s">
        <v>3150</v>
      </c>
      <c r="C46" s="19"/>
      <c r="D46" s="301"/>
      <c r="E46" s="299"/>
      <c r="F46" s="300"/>
    </row>
    <row r="47" spans="1:6" ht="12.75">
      <c r="A47" s="242"/>
      <c r="B47" s="27"/>
      <c r="C47" s="19"/>
      <c r="D47" s="301"/>
      <c r="E47" s="301"/>
      <c r="F47" s="300"/>
    </row>
    <row r="48" spans="1:6" ht="12.75">
      <c r="A48" s="243">
        <v>1</v>
      </c>
      <c r="B48" s="28" t="s">
        <v>3151</v>
      </c>
      <c r="C48" s="19"/>
      <c r="D48" s="301"/>
      <c r="E48" s="301"/>
      <c r="F48" s="300"/>
    </row>
    <row r="49" spans="1:6" ht="12.75">
      <c r="A49" s="243"/>
      <c r="B49" s="27"/>
      <c r="C49" s="19"/>
      <c r="D49" s="301"/>
      <c r="E49" s="301"/>
      <c r="F49" s="300"/>
    </row>
    <row r="50" spans="1:6" ht="14.25">
      <c r="A50" s="244">
        <v>1.1</v>
      </c>
      <c r="B50" s="27" t="s">
        <v>1564</v>
      </c>
      <c r="C50" s="19" t="s">
        <v>1565</v>
      </c>
      <c r="D50" s="301">
        <v>702</v>
      </c>
      <c r="E50" s="301">
        <f>'Site Work'!E37</f>
        <v>7.114086000118828</v>
      </c>
      <c r="F50" s="300">
        <f>D50*E50</f>
        <v>4994.088372083417</v>
      </c>
    </row>
    <row r="51" spans="1:6" ht="12.75">
      <c r="A51" s="244"/>
      <c r="B51" s="27"/>
      <c r="C51" s="19"/>
      <c r="D51" s="301"/>
      <c r="E51" s="301"/>
      <c r="F51" s="300"/>
    </row>
    <row r="52" spans="1:6" ht="25.5">
      <c r="A52" s="199">
        <v>1.2</v>
      </c>
      <c r="B52" s="27" t="s">
        <v>1566</v>
      </c>
      <c r="C52" s="19" t="s">
        <v>1567</v>
      </c>
      <c r="D52" s="301">
        <v>392</v>
      </c>
      <c r="E52" s="301">
        <f>'Cost break dow.'!V18</f>
        <v>30.954561738296125</v>
      </c>
      <c r="F52" s="300">
        <f>D52*E52</f>
        <v>12134.18820141208</v>
      </c>
    </row>
    <row r="53" spans="1:6" ht="11.25" customHeight="1">
      <c r="A53" s="199"/>
      <c r="B53" s="27"/>
      <c r="C53" s="19"/>
      <c r="D53" s="301"/>
      <c r="E53" s="301"/>
      <c r="F53" s="300"/>
    </row>
    <row r="54" spans="1:6" ht="25.5">
      <c r="A54" s="244">
        <v>1.3</v>
      </c>
      <c r="B54" s="27" t="s">
        <v>3025</v>
      </c>
      <c r="C54" s="19" t="s">
        <v>1567</v>
      </c>
      <c r="D54" s="301">
        <v>234</v>
      </c>
      <c r="E54" s="301">
        <f>'Cost break dow.'!V33</f>
        <v>77.26276732569973</v>
      </c>
      <c r="F54" s="300">
        <f>D54*E54</f>
        <v>18079.487554213738</v>
      </c>
    </row>
    <row r="55" spans="2:6" ht="12.75">
      <c r="B55" s="27"/>
      <c r="C55" s="19"/>
      <c r="D55" s="301"/>
      <c r="E55" s="301"/>
      <c r="F55" s="300"/>
    </row>
    <row r="56" spans="1:6" ht="25.5">
      <c r="A56" s="244">
        <v>1.4</v>
      </c>
      <c r="B56" s="27" t="s">
        <v>1568</v>
      </c>
      <c r="C56" s="19" t="s">
        <v>1567</v>
      </c>
      <c r="D56" s="301">
        <v>234</v>
      </c>
      <c r="E56" s="301">
        <f>E54</f>
        <v>77.26276732569973</v>
      </c>
      <c r="F56" s="300">
        <f>D56*E56</f>
        <v>18079.487554213738</v>
      </c>
    </row>
    <row r="57" spans="2:6" ht="12.75">
      <c r="B57" s="27"/>
      <c r="C57" s="19"/>
      <c r="D57" s="301"/>
      <c r="E57" s="301"/>
      <c r="F57" s="300"/>
    </row>
    <row r="58" spans="1:12" s="43" customFormat="1" ht="41.25" customHeight="1">
      <c r="A58" s="199">
        <v>1.5</v>
      </c>
      <c r="B58" s="84" t="s">
        <v>2160</v>
      </c>
      <c r="C58" s="19" t="s">
        <v>1567</v>
      </c>
      <c r="D58" s="301">
        <v>37</v>
      </c>
      <c r="E58" s="301">
        <f>E56</f>
        <v>77.26276732569973</v>
      </c>
      <c r="F58" s="302">
        <f>D58*E58</f>
        <v>2858.72239105089</v>
      </c>
      <c r="G58" s="72"/>
      <c r="H58" s="72"/>
      <c r="I58" s="72"/>
      <c r="J58" s="72"/>
      <c r="K58" s="72"/>
      <c r="L58" s="72"/>
    </row>
    <row r="59" spans="1:12" s="43" customFormat="1" ht="15" customHeight="1">
      <c r="A59" s="87"/>
      <c r="B59" s="84"/>
      <c r="C59" s="2"/>
      <c r="D59" s="332"/>
      <c r="E59" s="302"/>
      <c r="F59" s="302"/>
      <c r="G59" s="72"/>
      <c r="H59" s="72"/>
      <c r="I59" s="72"/>
      <c r="J59" s="72"/>
      <c r="K59" s="72"/>
      <c r="L59" s="72"/>
    </row>
    <row r="60" spans="1:6" ht="50.25" customHeight="1">
      <c r="A60" s="199">
        <v>1.6</v>
      </c>
      <c r="B60" s="27" t="s">
        <v>1569</v>
      </c>
      <c r="C60" s="19" t="s">
        <v>1567</v>
      </c>
      <c r="D60" s="301">
        <v>427</v>
      </c>
      <c r="E60" s="301">
        <f>'Cost break dow.'!V48</f>
        <v>126.28523433499151</v>
      </c>
      <c r="F60" s="295">
        <f>D60*E60</f>
        <v>53923.795061041375</v>
      </c>
    </row>
    <row r="61" spans="1:6" ht="11.25" customHeight="1">
      <c r="A61" s="4"/>
      <c r="B61" s="27"/>
      <c r="C61" s="19"/>
      <c r="D61" s="301"/>
      <c r="E61" s="301"/>
      <c r="F61" s="295"/>
    </row>
    <row r="62" spans="1:6" ht="14.25">
      <c r="A62" s="244">
        <v>1.7</v>
      </c>
      <c r="B62" s="27" t="s">
        <v>1570</v>
      </c>
      <c r="C62" s="19" t="s">
        <v>1567</v>
      </c>
      <c r="D62" s="301">
        <v>184</v>
      </c>
      <c r="E62" s="301">
        <f>E60</f>
        <v>126.28523433499151</v>
      </c>
      <c r="F62" s="295">
        <f>D62*E62</f>
        <v>23236.48311763844</v>
      </c>
    </row>
    <row r="63" spans="1:6" ht="12.75">
      <c r="A63" s="186"/>
      <c r="B63" s="27"/>
      <c r="C63" s="19"/>
      <c r="D63" s="301"/>
      <c r="E63" s="301"/>
      <c r="F63" s="295"/>
    </row>
    <row r="64" spans="1:6" ht="14.25">
      <c r="A64" s="199">
        <v>1.8</v>
      </c>
      <c r="B64" s="27" t="s">
        <v>1571</v>
      </c>
      <c r="C64" s="19" t="s">
        <v>1567</v>
      </c>
      <c r="D64" s="301">
        <v>644</v>
      </c>
      <c r="E64" s="301">
        <f>'Cost break dow.'!V54</f>
        <v>97.80008633385177</v>
      </c>
      <c r="F64" s="295">
        <f>D64*E64</f>
        <v>62983.255599000535</v>
      </c>
    </row>
    <row r="65" spans="1:6" ht="12.75">
      <c r="A65" s="199"/>
      <c r="B65" s="27"/>
      <c r="C65" s="19"/>
      <c r="D65" s="301"/>
      <c r="E65" s="301"/>
      <c r="F65" s="295"/>
    </row>
    <row r="66" spans="1:6" ht="26.25" customHeight="1">
      <c r="A66" s="244">
        <v>1.9</v>
      </c>
      <c r="B66" s="27" t="s">
        <v>1572</v>
      </c>
      <c r="C66" s="19" t="s">
        <v>1565</v>
      </c>
      <c r="D66" s="301">
        <v>282</v>
      </c>
      <c r="E66" s="301">
        <f>'Cost break dow.'!V59</f>
        <v>128.5101460860932</v>
      </c>
      <c r="F66" s="295">
        <f>D66*E66</f>
        <v>36239.86119627828</v>
      </c>
    </row>
    <row r="67" spans="1:6" ht="12.75">
      <c r="A67" s="186"/>
      <c r="B67" s="29"/>
      <c r="C67" s="19"/>
      <c r="D67" s="301"/>
      <c r="E67" s="301"/>
      <c r="F67" s="300"/>
    </row>
    <row r="68" spans="1:6" ht="13.5" thickBot="1">
      <c r="A68" s="199"/>
      <c r="B68" s="30" t="s">
        <v>1573</v>
      </c>
      <c r="C68" s="19"/>
      <c r="D68" s="301"/>
      <c r="E68" s="301"/>
      <c r="F68" s="462">
        <f>F50+F52+F54+F56+F58+F60+F62+F64+F66</f>
        <v>232529.36904693246</v>
      </c>
    </row>
    <row r="69" spans="1:6" ht="11.25" customHeight="1" thickTop="1">
      <c r="A69" s="199"/>
      <c r="B69" s="31"/>
      <c r="C69" s="19"/>
      <c r="D69" s="301"/>
      <c r="E69" s="301"/>
      <c r="F69" s="300"/>
    </row>
    <row r="70" spans="1:6" s="7" customFormat="1" ht="12.75">
      <c r="A70" s="243" t="s">
        <v>1574</v>
      </c>
      <c r="B70" s="28" t="s">
        <v>3153</v>
      </c>
      <c r="C70" s="14"/>
      <c r="D70" s="303"/>
      <c r="E70" s="303"/>
      <c r="F70" s="304"/>
    </row>
    <row r="71" spans="1:6" ht="9.75" customHeight="1">
      <c r="A71" s="186"/>
      <c r="B71" s="29"/>
      <c r="C71" s="19"/>
      <c r="D71" s="301"/>
      <c r="E71" s="301"/>
      <c r="F71" s="300"/>
    </row>
    <row r="72" spans="1:6" ht="12.75">
      <c r="A72" s="186"/>
      <c r="B72" s="27" t="s">
        <v>1575</v>
      </c>
      <c r="C72" s="19"/>
      <c r="D72" s="301"/>
      <c r="E72" s="301"/>
      <c r="F72" s="300"/>
    </row>
    <row r="73" spans="1:6" ht="12.75">
      <c r="A73" s="186"/>
      <c r="B73" s="27"/>
      <c r="C73" s="19"/>
      <c r="D73" s="301"/>
      <c r="E73" s="301"/>
      <c r="F73" s="300"/>
    </row>
    <row r="74" spans="1:6" ht="14.25">
      <c r="A74" s="186">
        <v>2.1</v>
      </c>
      <c r="B74" s="27" t="s">
        <v>1576</v>
      </c>
      <c r="C74" s="19" t="s">
        <v>1565</v>
      </c>
      <c r="D74" s="301">
        <v>74</v>
      </c>
      <c r="E74" s="301">
        <f>'Trans &amp;gener. House'!E56</f>
        <v>71.15213622038112</v>
      </c>
      <c r="F74" s="295">
        <f>D74*E74</f>
        <v>5265.258080308203</v>
      </c>
    </row>
    <row r="75" spans="1:6" ht="12.75">
      <c r="A75" s="186"/>
      <c r="B75" s="27"/>
      <c r="C75" s="19"/>
      <c r="D75" s="301"/>
      <c r="E75" s="301"/>
      <c r="F75" s="295"/>
    </row>
    <row r="76" spans="1:6" ht="14.25">
      <c r="A76" s="186">
        <v>2.2</v>
      </c>
      <c r="B76" s="27" t="s">
        <v>3009</v>
      </c>
      <c r="C76" s="19" t="s">
        <v>1565</v>
      </c>
      <c r="D76" s="301">
        <v>36</v>
      </c>
      <c r="E76" s="301">
        <f>E74</f>
        <v>71.15213622038112</v>
      </c>
      <c r="F76" s="295">
        <f>D76*E76</f>
        <v>2561.4769039337207</v>
      </c>
    </row>
    <row r="77" spans="1:6" ht="12.75">
      <c r="A77" s="186"/>
      <c r="B77" s="27"/>
      <c r="C77" s="19"/>
      <c r="D77" s="301"/>
      <c r="E77" s="301"/>
      <c r="F77" s="295"/>
    </row>
    <row r="78" spans="1:6" ht="14.25">
      <c r="A78" s="186">
        <v>2.3</v>
      </c>
      <c r="B78" s="27" t="s">
        <v>3010</v>
      </c>
      <c r="C78" s="19" t="s">
        <v>1565</v>
      </c>
      <c r="D78" s="301">
        <v>41</v>
      </c>
      <c r="E78" s="301">
        <f>E74</f>
        <v>71.15213622038112</v>
      </c>
      <c r="F78" s="295">
        <f>D78*E78</f>
        <v>2917.237585035626</v>
      </c>
    </row>
    <row r="79" spans="1:6" ht="9" customHeight="1">
      <c r="A79" s="186"/>
      <c r="B79" s="27"/>
      <c r="C79" s="19"/>
      <c r="D79" s="301"/>
      <c r="E79" s="301"/>
      <c r="F79" s="295"/>
    </row>
    <row r="80" spans="1:6" ht="27.75" customHeight="1">
      <c r="A80" s="17"/>
      <c r="B80" s="27" t="s">
        <v>1070</v>
      </c>
      <c r="C80" s="19"/>
      <c r="D80" s="301"/>
      <c r="E80" s="301"/>
      <c r="F80" s="295"/>
    </row>
    <row r="81" spans="1:6" ht="12.75">
      <c r="A81" s="17"/>
      <c r="B81" s="27"/>
      <c r="C81" s="19"/>
      <c r="D81" s="301"/>
      <c r="E81" s="301"/>
      <c r="F81" s="295"/>
    </row>
    <row r="82" spans="1:6" ht="14.25" customHeight="1">
      <c r="A82" s="186">
        <v>2.4</v>
      </c>
      <c r="B82" s="27" t="s">
        <v>1071</v>
      </c>
      <c r="C82" s="19" t="s">
        <v>1567</v>
      </c>
      <c r="D82" s="301">
        <v>35</v>
      </c>
      <c r="E82" s="301">
        <f>'Cost break dow.'!V102</f>
        <v>2350.4052110607972</v>
      </c>
      <c r="F82" s="295">
        <f>D82*E82</f>
        <v>82264.1823871279</v>
      </c>
    </row>
    <row r="83" spans="1:6" ht="10.5" customHeight="1">
      <c r="A83" s="186"/>
      <c r="B83" s="27"/>
      <c r="C83" s="19"/>
      <c r="D83" s="301"/>
      <c r="E83" s="301"/>
      <c r="F83" s="295"/>
    </row>
    <row r="84" spans="1:6" ht="13.5" customHeight="1">
      <c r="A84" s="186">
        <v>2.5</v>
      </c>
      <c r="B84" s="27" t="s">
        <v>1072</v>
      </c>
      <c r="C84" s="19" t="s">
        <v>1567</v>
      </c>
      <c r="D84" s="301">
        <v>7</v>
      </c>
      <c r="E84" s="301">
        <f>E82</f>
        <v>2350.4052110607972</v>
      </c>
      <c r="F84" s="295">
        <f>D84*E84</f>
        <v>16452.836477425582</v>
      </c>
    </row>
    <row r="85" spans="1:6" ht="10.5" customHeight="1">
      <c r="A85" s="186"/>
      <c r="B85" s="27"/>
      <c r="C85" s="19"/>
      <c r="D85" s="301"/>
      <c r="E85" s="301"/>
      <c r="F85" s="295"/>
    </row>
    <row r="86" spans="1:6" ht="14.25">
      <c r="A86" s="186">
        <v>2.6</v>
      </c>
      <c r="B86" s="27" t="s">
        <v>1671</v>
      </c>
      <c r="C86" s="19" t="s">
        <v>1567</v>
      </c>
      <c r="D86" s="298">
        <v>23</v>
      </c>
      <c r="E86" s="301">
        <f>E82</f>
        <v>2350.4052110607972</v>
      </c>
      <c r="F86" s="295">
        <f>D86*E86</f>
        <v>54059.31985439834</v>
      </c>
    </row>
    <row r="87" spans="1:6" ht="12.75">
      <c r="A87" s="186"/>
      <c r="B87" s="27"/>
      <c r="C87" s="19"/>
      <c r="D87" s="298"/>
      <c r="E87" s="301"/>
      <c r="F87" s="295"/>
    </row>
    <row r="88" spans="1:6" ht="14.25">
      <c r="A88" s="186">
        <v>2.7</v>
      </c>
      <c r="B88" s="27" t="s">
        <v>1672</v>
      </c>
      <c r="C88" s="19" t="s">
        <v>1565</v>
      </c>
      <c r="D88" s="301">
        <v>282</v>
      </c>
      <c r="E88" s="301">
        <f>0.1*E82</f>
        <v>235.04052110607972</v>
      </c>
      <c r="F88" s="295">
        <f>D88*E88</f>
        <v>66281.42695191449</v>
      </c>
    </row>
    <row r="89" spans="1:6" s="36" customFormat="1" ht="10.5" customHeight="1">
      <c r="A89" s="165"/>
      <c r="B89" s="33"/>
      <c r="C89" s="34"/>
      <c r="D89" s="305"/>
      <c r="E89" s="305"/>
      <c r="F89" s="295"/>
    </row>
    <row r="90" spans="1:6" ht="13.5" customHeight="1">
      <c r="A90" s="186"/>
      <c r="B90" s="27" t="s">
        <v>1673</v>
      </c>
      <c r="C90" s="19"/>
      <c r="D90" s="301"/>
      <c r="E90" s="301"/>
      <c r="F90" s="295"/>
    </row>
    <row r="91" spans="1:6" ht="12.75">
      <c r="A91" s="186"/>
      <c r="B91" s="27"/>
      <c r="C91" s="19"/>
      <c r="D91" s="301"/>
      <c r="E91" s="301"/>
      <c r="F91" s="295"/>
    </row>
    <row r="92" spans="1:6" ht="14.25">
      <c r="A92" s="245">
        <v>2.8</v>
      </c>
      <c r="B92" s="27" t="s">
        <v>1674</v>
      </c>
      <c r="C92" s="19" t="s">
        <v>1565</v>
      </c>
      <c r="D92" s="301">
        <v>57</v>
      </c>
      <c r="E92" s="301">
        <f>'Cost break dow.'!V118</f>
        <v>290.32734629873335</v>
      </c>
      <c r="F92" s="295">
        <f>D92*E92</f>
        <v>16548.6587390278</v>
      </c>
    </row>
    <row r="93" spans="1:6" ht="11.25" customHeight="1">
      <c r="A93" s="186"/>
      <c r="B93" s="27"/>
      <c r="C93" s="19"/>
      <c r="D93" s="301"/>
      <c r="E93" s="301"/>
      <c r="F93" s="295"/>
    </row>
    <row r="94" spans="1:6" ht="14.25">
      <c r="A94" s="186">
        <v>2.9</v>
      </c>
      <c r="B94" s="29" t="s">
        <v>1675</v>
      </c>
      <c r="C94" s="19" t="s">
        <v>1565</v>
      </c>
      <c r="D94" s="301">
        <v>56</v>
      </c>
      <c r="E94" s="301">
        <f>E92</f>
        <v>290.32734629873335</v>
      </c>
      <c r="F94" s="295">
        <f>D94*E94</f>
        <v>16258.331392729067</v>
      </c>
    </row>
    <row r="95" spans="1:6" ht="9.75" customHeight="1">
      <c r="A95" s="186"/>
      <c r="B95" s="29"/>
      <c r="C95" s="19"/>
      <c r="D95" s="301"/>
      <c r="E95" s="301"/>
      <c r="F95" s="295"/>
    </row>
    <row r="96" spans="1:6" ht="14.25">
      <c r="A96" s="187">
        <v>2.1</v>
      </c>
      <c r="B96" s="27" t="s">
        <v>1676</v>
      </c>
      <c r="C96" s="19" t="s">
        <v>1565</v>
      </c>
      <c r="D96" s="301">
        <v>166</v>
      </c>
      <c r="E96" s="301">
        <f>E92</f>
        <v>290.32734629873335</v>
      </c>
      <c r="F96" s="295">
        <f>D96*E96</f>
        <v>48194.339485589735</v>
      </c>
    </row>
    <row r="97" spans="1:6" ht="12.75">
      <c r="A97" s="186"/>
      <c r="B97" s="27"/>
      <c r="C97" s="19"/>
      <c r="D97" s="301"/>
      <c r="E97" s="301"/>
      <c r="F97" s="295"/>
    </row>
    <row r="98" spans="1:6" ht="38.25">
      <c r="A98" s="186"/>
      <c r="B98" s="27" t="s">
        <v>85</v>
      </c>
      <c r="C98" s="19"/>
      <c r="D98" s="301"/>
      <c r="E98" s="301"/>
      <c r="F98" s="295"/>
    </row>
    <row r="99" spans="1:6" ht="10.5" customHeight="1">
      <c r="A99" s="186"/>
      <c r="B99" s="27"/>
      <c r="C99" s="19"/>
      <c r="D99" s="301"/>
      <c r="E99" s="301"/>
      <c r="F99" s="295"/>
    </row>
    <row r="100" spans="1:6" ht="12.75">
      <c r="A100" s="186">
        <v>2.11</v>
      </c>
      <c r="B100" s="27" t="s">
        <v>153</v>
      </c>
      <c r="C100" s="19" t="s">
        <v>86</v>
      </c>
      <c r="D100" s="301">
        <v>2358</v>
      </c>
      <c r="E100" s="301">
        <f>'Cost break dow.'!V125</f>
        <v>28.227542033120493</v>
      </c>
      <c r="F100" s="295">
        <f>D100*E100</f>
        <v>66560.54411409813</v>
      </c>
    </row>
    <row r="101" spans="1:6" ht="10.5" customHeight="1">
      <c r="A101" s="186"/>
      <c r="B101" s="27"/>
      <c r="C101" s="19"/>
      <c r="D101" s="301"/>
      <c r="E101" s="301"/>
      <c r="F101" s="295"/>
    </row>
    <row r="102" spans="1:6" ht="12.75">
      <c r="A102" s="186">
        <v>2.12</v>
      </c>
      <c r="B102" s="27" t="s">
        <v>154</v>
      </c>
      <c r="C102" s="19" t="s">
        <v>86</v>
      </c>
      <c r="D102" s="301">
        <v>83</v>
      </c>
      <c r="E102" s="301">
        <f>E100</f>
        <v>28.227542033120493</v>
      </c>
      <c r="F102" s="295">
        <f>D102*E102</f>
        <v>2342.8859887490007</v>
      </c>
    </row>
    <row r="103" spans="1:6" ht="11.25" customHeight="1">
      <c r="A103" s="186"/>
      <c r="B103" s="27"/>
      <c r="C103" s="19"/>
      <c r="D103" s="301"/>
      <c r="E103" s="301"/>
      <c r="F103" s="295"/>
    </row>
    <row r="104" spans="1:6" ht="12.75">
      <c r="A104" s="186">
        <v>2.13</v>
      </c>
      <c r="B104" s="27" t="s">
        <v>88</v>
      </c>
      <c r="C104" s="19" t="s">
        <v>86</v>
      </c>
      <c r="D104" s="301">
        <v>3716</v>
      </c>
      <c r="E104" s="301">
        <f>E100</f>
        <v>28.227542033120493</v>
      </c>
      <c r="F104" s="295">
        <f>D104*E104</f>
        <v>104893.54619507575</v>
      </c>
    </row>
    <row r="105" spans="1:6" ht="12.75">
      <c r="A105" s="186"/>
      <c r="B105" s="27"/>
      <c r="C105" s="19"/>
      <c r="D105" s="301"/>
      <c r="E105" s="301"/>
      <c r="F105" s="295"/>
    </row>
    <row r="106" spans="1:6" ht="12.75">
      <c r="A106" s="186">
        <v>2.14</v>
      </c>
      <c r="B106" s="27" t="s">
        <v>89</v>
      </c>
      <c r="C106" s="19" t="s">
        <v>86</v>
      </c>
      <c r="D106" s="301">
        <v>2020</v>
      </c>
      <c r="E106" s="301">
        <f>E100</f>
        <v>28.227542033120493</v>
      </c>
      <c r="F106" s="295">
        <f>D106*E106</f>
        <v>57019.6349069034</v>
      </c>
    </row>
    <row r="107" spans="1:6" ht="11.25" customHeight="1">
      <c r="A107" s="186"/>
      <c r="B107" s="27"/>
      <c r="C107" s="19"/>
      <c r="D107" s="301"/>
      <c r="E107" s="301"/>
      <c r="F107" s="295"/>
    </row>
    <row r="108" spans="1:6" ht="12.75">
      <c r="A108" s="186">
        <v>2.15</v>
      </c>
      <c r="B108" s="27" t="s">
        <v>90</v>
      </c>
      <c r="C108" s="19" t="s">
        <v>86</v>
      </c>
      <c r="D108" s="301">
        <v>231</v>
      </c>
      <c r="E108" s="301">
        <f>E100</f>
        <v>28.227542033120493</v>
      </c>
      <c r="F108" s="295">
        <f>D108*E108</f>
        <v>6520.562209650834</v>
      </c>
    </row>
    <row r="109" spans="1:6" ht="10.5" customHeight="1">
      <c r="A109" s="186"/>
      <c r="B109" s="27"/>
      <c r="C109" s="19"/>
      <c r="D109" s="301"/>
      <c r="E109" s="301"/>
      <c r="F109" s="295"/>
    </row>
    <row r="110" spans="1:6" ht="12.75">
      <c r="A110" s="186">
        <v>2.16</v>
      </c>
      <c r="B110" s="27" t="s">
        <v>155</v>
      </c>
      <c r="C110" s="19" t="s">
        <v>86</v>
      </c>
      <c r="D110" s="301">
        <v>503</v>
      </c>
      <c r="E110" s="301">
        <f>E100</f>
        <v>28.227542033120493</v>
      </c>
      <c r="F110" s="295">
        <f>D110*E110</f>
        <v>14198.453642659608</v>
      </c>
    </row>
    <row r="111" spans="1:6" ht="10.5" customHeight="1">
      <c r="A111" s="215"/>
      <c r="B111" s="27"/>
      <c r="C111" s="19"/>
      <c r="D111" s="301"/>
      <c r="E111" s="301"/>
      <c r="F111" s="306"/>
    </row>
    <row r="112" spans="1:6" ht="13.5" thickBot="1">
      <c r="A112" s="199"/>
      <c r="B112" s="30" t="s">
        <v>93</v>
      </c>
      <c r="C112" s="19"/>
      <c r="D112" s="301"/>
      <c r="E112" s="301"/>
      <c r="F112" s="464">
        <f>F74+F76+F78+F82+F84+F86+F88+F92+F94+F96+F100+F102+F104+F106+F108+F110</f>
        <v>562338.6949146272</v>
      </c>
    </row>
    <row r="113" spans="1:6" ht="12" customHeight="1" thickTop="1">
      <c r="A113" s="199"/>
      <c r="B113" s="31"/>
      <c r="C113" s="19"/>
      <c r="D113" s="301"/>
      <c r="E113" s="301"/>
      <c r="F113" s="295"/>
    </row>
    <row r="114" spans="1:6" s="36" customFormat="1" ht="12.75">
      <c r="A114" s="246">
        <v>3</v>
      </c>
      <c r="B114" s="10" t="s">
        <v>3155</v>
      </c>
      <c r="C114" s="34"/>
      <c r="D114" s="305"/>
      <c r="E114" s="305"/>
      <c r="F114" s="295"/>
    </row>
    <row r="115" spans="2:6" s="36" customFormat="1" ht="11.25" customHeight="1">
      <c r="B115" s="33"/>
      <c r="C115" s="34"/>
      <c r="D115" s="305"/>
      <c r="E115" s="305"/>
      <c r="F115" s="295"/>
    </row>
    <row r="116" spans="1:6" s="36" customFormat="1" ht="25.5">
      <c r="A116" s="165">
        <v>3.1</v>
      </c>
      <c r="B116" s="33" t="s">
        <v>2259</v>
      </c>
      <c r="C116" s="19" t="s">
        <v>1567</v>
      </c>
      <c r="D116" s="307">
        <v>37</v>
      </c>
      <c r="E116" s="307">
        <f>'Cost break dow.'!V136</f>
        <v>1408.680881909492</v>
      </c>
      <c r="F116" s="295">
        <f>D116*E116</f>
        <v>52121.1926306512</v>
      </c>
    </row>
    <row r="117" spans="2:6" s="36" customFormat="1" ht="10.5" customHeight="1">
      <c r="B117" s="33"/>
      <c r="C117" s="19"/>
      <c r="D117" s="307"/>
      <c r="E117" s="307"/>
      <c r="F117" s="300"/>
    </row>
    <row r="118" spans="1:6" s="36" customFormat="1" ht="13.5" thickBot="1">
      <c r="A118" s="165"/>
      <c r="B118" s="38" t="s">
        <v>2260</v>
      </c>
      <c r="C118" s="39"/>
      <c r="D118" s="307"/>
      <c r="E118" s="307"/>
      <c r="F118" s="462">
        <f>F116</f>
        <v>52121.1926306512</v>
      </c>
    </row>
    <row r="119" spans="1:6" s="36" customFormat="1" ht="13.5" thickTop="1">
      <c r="A119" s="165"/>
      <c r="B119" s="38"/>
      <c r="C119" s="39"/>
      <c r="D119" s="307"/>
      <c r="E119" s="307"/>
      <c r="F119" s="300"/>
    </row>
    <row r="120" spans="1:6" s="8" customFormat="1" ht="12.75" customHeight="1">
      <c r="A120" s="165"/>
      <c r="B120" s="25" t="s">
        <v>2261</v>
      </c>
      <c r="C120" s="40"/>
      <c r="D120" s="308"/>
      <c r="E120" s="308"/>
      <c r="F120" s="309"/>
    </row>
    <row r="121" spans="1:6" ht="10.5" customHeight="1">
      <c r="A121" s="165"/>
      <c r="B121" s="29"/>
      <c r="C121" s="19"/>
      <c r="D121" s="301"/>
      <c r="E121" s="301"/>
      <c r="F121" s="300"/>
    </row>
    <row r="122" spans="1:6" s="7" customFormat="1" ht="12.75">
      <c r="A122" s="242" t="s">
        <v>3157</v>
      </c>
      <c r="B122" s="28" t="s">
        <v>3153</v>
      </c>
      <c r="C122" s="14"/>
      <c r="D122" s="303"/>
      <c r="E122" s="303"/>
      <c r="F122" s="300"/>
    </row>
    <row r="123" spans="1:6" ht="8.25" customHeight="1">
      <c r="A123" s="186"/>
      <c r="B123" s="27"/>
      <c r="C123" s="19"/>
      <c r="D123" s="301"/>
      <c r="E123" s="301"/>
      <c r="F123" s="300"/>
    </row>
    <row r="124" spans="1:6" ht="28.5" customHeight="1">
      <c r="A124" s="243">
        <v>1</v>
      </c>
      <c r="B124" s="27" t="s">
        <v>2262</v>
      </c>
      <c r="C124" s="19"/>
      <c r="D124" s="301"/>
      <c r="E124" s="301"/>
      <c r="F124" s="300"/>
    </row>
    <row r="125" spans="1:6" ht="12.75">
      <c r="A125" s="186"/>
      <c r="B125" s="27"/>
      <c r="C125" s="19"/>
      <c r="D125" s="301"/>
      <c r="E125" s="301"/>
      <c r="F125" s="300"/>
    </row>
    <row r="126" spans="1:6" ht="14.25">
      <c r="A126" s="186">
        <v>1.1</v>
      </c>
      <c r="B126" s="27" t="s">
        <v>2263</v>
      </c>
      <c r="C126" s="19" t="s">
        <v>1567</v>
      </c>
      <c r="D126" s="301">
        <v>18</v>
      </c>
      <c r="E126" s="301">
        <f>'Cost break dow.'!V102</f>
        <v>2350.4052110607972</v>
      </c>
      <c r="F126" s="298">
        <f>D126*E126</f>
        <v>42307.29379909435</v>
      </c>
    </row>
    <row r="127" spans="1:6" ht="12.75">
      <c r="A127" s="199"/>
      <c r="B127" s="27"/>
      <c r="C127" s="19"/>
      <c r="D127" s="301"/>
      <c r="E127" s="301"/>
      <c r="F127" s="298"/>
    </row>
    <row r="128" spans="1:6" ht="14.25">
      <c r="A128" s="199">
        <v>1.2</v>
      </c>
      <c r="B128" s="27" t="s">
        <v>1577</v>
      </c>
      <c r="C128" s="19" t="s">
        <v>1567</v>
      </c>
      <c r="D128" s="301">
        <v>707</v>
      </c>
      <c r="E128" s="301">
        <f>E126</f>
        <v>2350.4052110607972</v>
      </c>
      <c r="F128" s="298">
        <f>D128*E128</f>
        <v>1661736.4842199837</v>
      </c>
    </row>
    <row r="129" spans="1:6" ht="12.75">
      <c r="A129" s="199"/>
      <c r="B129" s="27"/>
      <c r="C129" s="19"/>
      <c r="D129" s="301"/>
      <c r="E129" s="301"/>
      <c r="F129" s="298"/>
    </row>
    <row r="130" spans="1:6" ht="14.25">
      <c r="A130" s="199">
        <v>1.3</v>
      </c>
      <c r="B130" s="27" t="s">
        <v>150</v>
      </c>
      <c r="C130" s="19" t="s">
        <v>1565</v>
      </c>
      <c r="D130" s="301">
        <v>1159</v>
      </c>
      <c r="E130" s="301">
        <f>0.3*E126</f>
        <v>705.1215633182392</v>
      </c>
      <c r="F130" s="298">
        <f>D130*E130</f>
        <v>817235.8918858392</v>
      </c>
    </row>
    <row r="131" spans="1:6" ht="12.75">
      <c r="A131" s="199"/>
      <c r="B131" s="27"/>
      <c r="C131" s="19"/>
      <c r="D131" s="301"/>
      <c r="E131" s="301"/>
      <c r="F131" s="298"/>
    </row>
    <row r="132" spans="1:6" ht="14.25">
      <c r="A132" s="199">
        <v>1.4</v>
      </c>
      <c r="B132" s="27" t="s">
        <v>1580</v>
      </c>
      <c r="C132" s="19" t="s">
        <v>3011</v>
      </c>
      <c r="D132" s="301">
        <v>60</v>
      </c>
      <c r="E132" s="301">
        <f>0.15*E126</f>
        <v>352.5607816591196</v>
      </c>
      <c r="F132" s="298">
        <f>D132*E132</f>
        <v>21153.646899547173</v>
      </c>
    </row>
    <row r="133" spans="1:6" ht="15" customHeight="1">
      <c r="A133" s="186"/>
      <c r="B133" s="27"/>
      <c r="C133" s="4"/>
      <c r="D133" s="301"/>
      <c r="E133" s="301"/>
      <c r="F133" s="298"/>
    </row>
    <row r="134" spans="1:6" ht="15" customHeight="1">
      <c r="A134" s="186">
        <v>1.5</v>
      </c>
      <c r="B134" s="27" t="s">
        <v>2264</v>
      </c>
      <c r="C134" s="19" t="s">
        <v>1567</v>
      </c>
      <c r="D134" s="301">
        <v>50</v>
      </c>
      <c r="E134" s="301">
        <f>E126</f>
        <v>2350.4052110607972</v>
      </c>
      <c r="F134" s="298">
        <f>D134*E134</f>
        <v>117520.26055303986</v>
      </c>
    </row>
    <row r="135" spans="1:6" ht="12.75">
      <c r="A135" s="199"/>
      <c r="B135" s="27"/>
      <c r="C135" s="19"/>
      <c r="D135" s="301"/>
      <c r="E135" s="301"/>
      <c r="F135" s="298"/>
    </row>
    <row r="136" spans="1:6" ht="14.25">
      <c r="A136" s="199">
        <v>1.6</v>
      </c>
      <c r="B136" s="27" t="s">
        <v>2265</v>
      </c>
      <c r="C136" s="19" t="s">
        <v>1565</v>
      </c>
      <c r="D136" s="301">
        <v>120</v>
      </c>
      <c r="E136" s="301">
        <f>0.1*E126</f>
        <v>235.04052110607972</v>
      </c>
      <c r="F136" s="298">
        <f>D136*E136</f>
        <v>28204.862532729567</v>
      </c>
    </row>
    <row r="137" spans="1:6" ht="11.25" customHeight="1">
      <c r="A137" s="199"/>
      <c r="B137" s="27"/>
      <c r="C137" s="19"/>
      <c r="D137" s="301"/>
      <c r="E137" s="301"/>
      <c r="F137" s="298"/>
    </row>
    <row r="138" spans="2:6" ht="25.5">
      <c r="B138" s="27" t="s">
        <v>238</v>
      </c>
      <c r="C138" s="19"/>
      <c r="D138" s="301"/>
      <c r="E138" s="301"/>
      <c r="F138" s="298"/>
    </row>
    <row r="139" spans="1:6" ht="9" customHeight="1">
      <c r="A139" s="186"/>
      <c r="B139" s="27"/>
      <c r="C139" s="19"/>
      <c r="D139" s="301"/>
      <c r="E139" s="301"/>
      <c r="F139" s="298"/>
    </row>
    <row r="140" spans="1:6" ht="14.25">
      <c r="A140" s="186">
        <v>1.7</v>
      </c>
      <c r="B140" s="27" t="s">
        <v>2263</v>
      </c>
      <c r="C140" s="19" t="s">
        <v>1565</v>
      </c>
      <c r="D140" s="301">
        <v>177</v>
      </c>
      <c r="E140" s="301">
        <f>'Cost break dow.'!V118</f>
        <v>290.32734629873335</v>
      </c>
      <c r="F140" s="298">
        <f>D140*E140</f>
        <v>51387.9402948758</v>
      </c>
    </row>
    <row r="141" spans="1:6" ht="8.25" customHeight="1">
      <c r="A141" s="199"/>
      <c r="B141" s="27"/>
      <c r="C141" s="19"/>
      <c r="D141" s="301"/>
      <c r="E141" s="301"/>
      <c r="F141" s="298"/>
    </row>
    <row r="142" spans="1:6" ht="14.25">
      <c r="A142" s="186">
        <v>1.8</v>
      </c>
      <c r="B142" s="27" t="s">
        <v>1577</v>
      </c>
      <c r="C142" s="19" t="s">
        <v>1565</v>
      </c>
      <c r="D142" s="301">
        <v>707</v>
      </c>
      <c r="E142" s="301">
        <f>E140</f>
        <v>290.32734629873335</v>
      </c>
      <c r="F142" s="298">
        <f>D142*E142</f>
        <v>205261.43383320447</v>
      </c>
    </row>
    <row r="143" spans="1:6" ht="9" customHeight="1">
      <c r="A143" s="199"/>
      <c r="B143" s="27"/>
      <c r="C143" s="19"/>
      <c r="D143" s="301"/>
      <c r="E143" s="301"/>
      <c r="F143" s="298"/>
    </row>
    <row r="144" spans="1:6" ht="12.75" customHeight="1">
      <c r="A144" s="248">
        <v>1.9</v>
      </c>
      <c r="B144" s="27" t="s">
        <v>1578</v>
      </c>
      <c r="C144" s="19" t="s">
        <v>1565</v>
      </c>
      <c r="D144" s="301">
        <v>1159</v>
      </c>
      <c r="E144" s="301">
        <f>E140</f>
        <v>290.32734629873335</v>
      </c>
      <c r="F144" s="298">
        <f>D144*E144</f>
        <v>336489.39436023193</v>
      </c>
    </row>
    <row r="145" spans="1:6" ht="9.75" customHeight="1">
      <c r="A145" s="248"/>
      <c r="B145" s="27"/>
      <c r="C145" s="19"/>
      <c r="D145" s="301"/>
      <c r="E145" s="301"/>
      <c r="F145" s="298"/>
    </row>
    <row r="146" spans="1:6" ht="15.75" customHeight="1">
      <c r="A146" s="215">
        <v>1.1</v>
      </c>
      <c r="B146" s="27" t="s">
        <v>1579</v>
      </c>
      <c r="C146" s="19" t="s">
        <v>1565</v>
      </c>
      <c r="D146" s="301">
        <v>60</v>
      </c>
      <c r="E146" s="301">
        <f>E140</f>
        <v>290.32734629873335</v>
      </c>
      <c r="F146" s="298">
        <f>D146*E146</f>
        <v>17419.640777924</v>
      </c>
    </row>
    <row r="147" spans="1:6" ht="10.5" customHeight="1">
      <c r="A147" s="199"/>
      <c r="B147" s="27"/>
      <c r="C147" s="19"/>
      <c r="D147" s="301"/>
      <c r="E147" s="301"/>
      <c r="F147" s="298"/>
    </row>
    <row r="148" spans="1:6" ht="15.75" customHeight="1">
      <c r="A148" s="215">
        <v>1.11</v>
      </c>
      <c r="B148" s="27" t="s">
        <v>2264</v>
      </c>
      <c r="C148" s="19" t="s">
        <v>1565</v>
      </c>
      <c r="D148" s="301">
        <v>250</v>
      </c>
      <c r="E148" s="301">
        <f>E140</f>
        <v>290.32734629873335</v>
      </c>
      <c r="F148" s="298">
        <f>D148*E148</f>
        <v>72581.83657468333</v>
      </c>
    </row>
    <row r="149" spans="1:6" ht="8.25" customHeight="1">
      <c r="A149" s="248"/>
      <c r="B149" s="27"/>
      <c r="C149" s="19"/>
      <c r="D149" s="301"/>
      <c r="E149" s="301"/>
      <c r="F149" s="298"/>
    </row>
    <row r="150" spans="1:6" ht="15" customHeight="1">
      <c r="A150" s="215">
        <v>1.12</v>
      </c>
      <c r="B150" s="27" t="s">
        <v>2265</v>
      </c>
      <c r="C150" s="19" t="s">
        <v>1565</v>
      </c>
      <c r="D150" s="301">
        <v>240</v>
      </c>
      <c r="E150" s="301">
        <f>E140</f>
        <v>290.32734629873335</v>
      </c>
      <c r="F150" s="298">
        <f>D150*E150</f>
        <v>69678.563111696</v>
      </c>
    </row>
    <row r="151" spans="1:6" ht="9" customHeight="1">
      <c r="A151" s="199"/>
      <c r="B151" s="27"/>
      <c r="C151" s="19"/>
      <c r="D151" s="301"/>
      <c r="E151" s="301"/>
      <c r="F151" s="298"/>
    </row>
    <row r="152" spans="2:6" ht="36" customHeight="1">
      <c r="B152" s="27" t="s">
        <v>85</v>
      </c>
      <c r="C152" s="19"/>
      <c r="D152" s="301"/>
      <c r="E152" s="301"/>
      <c r="F152" s="298"/>
    </row>
    <row r="153" spans="2:6" ht="9" customHeight="1">
      <c r="B153" s="27"/>
      <c r="C153" s="19"/>
      <c r="D153" s="301"/>
      <c r="E153" s="301"/>
      <c r="F153" s="298"/>
    </row>
    <row r="154" spans="1:6" ht="12.75" customHeight="1">
      <c r="A154" s="199">
        <v>1.13</v>
      </c>
      <c r="B154" s="27" t="s">
        <v>156</v>
      </c>
      <c r="C154" s="19" t="s">
        <v>86</v>
      </c>
      <c r="D154" s="301">
        <v>34740</v>
      </c>
      <c r="E154" s="301">
        <f>'Cost break dow.'!V125</f>
        <v>28.227542033120493</v>
      </c>
      <c r="F154" s="298">
        <f>D154*E154</f>
        <v>980624.8102306059</v>
      </c>
    </row>
    <row r="155" spans="1:6" ht="9" customHeight="1">
      <c r="A155" s="199"/>
      <c r="B155" s="27"/>
      <c r="C155" s="19"/>
      <c r="D155" s="301"/>
      <c r="E155" s="301"/>
      <c r="F155" s="298"/>
    </row>
    <row r="156" spans="1:6" ht="12" customHeight="1">
      <c r="A156" s="215">
        <v>1.14</v>
      </c>
      <c r="B156" s="27" t="s">
        <v>157</v>
      </c>
      <c r="C156" s="19" t="s">
        <v>86</v>
      </c>
      <c r="D156" s="301">
        <v>27615</v>
      </c>
      <c r="E156" s="301">
        <f>E154</f>
        <v>28.227542033120493</v>
      </c>
      <c r="F156" s="298">
        <f>D156*E156</f>
        <v>779503.5732446224</v>
      </c>
    </row>
    <row r="157" spans="1:6" ht="9" customHeight="1">
      <c r="A157" s="186"/>
      <c r="B157" s="27"/>
      <c r="C157" s="19"/>
      <c r="D157" s="301"/>
      <c r="E157" s="301"/>
      <c r="F157" s="298"/>
    </row>
    <row r="158" spans="1:6" ht="12.75">
      <c r="A158" s="187">
        <v>1.15</v>
      </c>
      <c r="B158" s="27" t="s">
        <v>41</v>
      </c>
      <c r="C158" s="19" t="s">
        <v>86</v>
      </c>
      <c r="D158" s="301">
        <v>12027</v>
      </c>
      <c r="E158" s="301">
        <f>E154</f>
        <v>28.227542033120493</v>
      </c>
      <c r="F158" s="298">
        <f>D158*E158</f>
        <v>339492.64803234016</v>
      </c>
    </row>
    <row r="159" spans="1:6" ht="10.5" customHeight="1">
      <c r="A159" s="186"/>
      <c r="B159" s="27"/>
      <c r="C159" s="19"/>
      <c r="D159" s="301"/>
      <c r="E159" s="301"/>
      <c r="F159" s="298"/>
    </row>
    <row r="160" spans="1:6" ht="12.75">
      <c r="A160" s="187">
        <v>1.16</v>
      </c>
      <c r="B160" s="27" t="s">
        <v>42</v>
      </c>
      <c r="C160" s="19" t="s">
        <v>86</v>
      </c>
      <c r="D160" s="301">
        <v>1634</v>
      </c>
      <c r="E160" s="301">
        <f>E154</f>
        <v>28.227542033120493</v>
      </c>
      <c r="F160" s="298">
        <f>D160*E160</f>
        <v>46123.80368211889</v>
      </c>
    </row>
    <row r="161" spans="2:6" ht="10.5" customHeight="1">
      <c r="B161" s="27"/>
      <c r="C161" s="19"/>
      <c r="D161" s="301"/>
      <c r="E161" s="301"/>
      <c r="F161" s="298"/>
    </row>
    <row r="162" spans="1:6" ht="12.75">
      <c r="A162" s="187">
        <v>1.17</v>
      </c>
      <c r="B162" s="27" t="s">
        <v>43</v>
      </c>
      <c r="C162" s="19" t="s">
        <v>86</v>
      </c>
      <c r="D162" s="301">
        <v>2238</v>
      </c>
      <c r="E162" s="301">
        <f>E154</f>
        <v>28.227542033120493</v>
      </c>
      <c r="F162" s="298">
        <f>D162*E162</f>
        <v>63173.239070123665</v>
      </c>
    </row>
    <row r="163" spans="2:6" ht="10.5" customHeight="1">
      <c r="B163" s="27"/>
      <c r="C163" s="19"/>
      <c r="D163" s="301"/>
      <c r="E163" s="301"/>
      <c r="F163" s="298"/>
    </row>
    <row r="164" spans="1:6" ht="12.75">
      <c r="A164" s="187">
        <v>1.18</v>
      </c>
      <c r="B164" s="27" t="s">
        <v>158</v>
      </c>
      <c r="C164" s="19" t="s">
        <v>86</v>
      </c>
      <c r="D164" s="301">
        <v>2077</v>
      </c>
      <c r="E164" s="301">
        <f>E154</f>
        <v>28.227542033120493</v>
      </c>
      <c r="F164" s="298">
        <f>D164*E164</f>
        <v>58628.60480279126</v>
      </c>
    </row>
    <row r="165" spans="2:6" ht="12.75" customHeight="1">
      <c r="B165" s="27"/>
      <c r="C165" s="19"/>
      <c r="D165" s="301"/>
      <c r="E165" s="301"/>
      <c r="F165" s="298"/>
    </row>
    <row r="166" spans="2:6" ht="12" customHeight="1" thickBot="1">
      <c r="B166" s="30" t="s">
        <v>1573</v>
      </c>
      <c r="C166" s="19"/>
      <c r="D166" s="301"/>
      <c r="E166" s="301"/>
      <c r="F166" s="463">
        <f>F126+F128+F130+F132+F134+F136+F140+F142+F144+F146+F148+F150+F154+F156+F158+F160+F162+F164</f>
        <v>5708523.927905453</v>
      </c>
    </row>
    <row r="167" spans="1:6" ht="12" customHeight="1" thickTop="1">
      <c r="A167" s="187"/>
      <c r="B167" s="18"/>
      <c r="C167" s="19"/>
      <c r="D167" s="301"/>
      <c r="E167" s="301"/>
      <c r="F167" s="300"/>
    </row>
    <row r="168" spans="1:2" ht="12.75">
      <c r="A168" s="243" t="s">
        <v>44</v>
      </c>
      <c r="B168" s="28" t="s">
        <v>45</v>
      </c>
    </row>
    <row r="169" spans="1:6" s="7" customFormat="1" ht="12.75">
      <c r="A169" s="187"/>
      <c r="B169" s="27"/>
      <c r="C169" s="14"/>
      <c r="D169" s="303"/>
      <c r="E169" s="303"/>
      <c r="F169" s="300"/>
    </row>
    <row r="170" spans="1:6" ht="25.5">
      <c r="A170" s="244">
        <v>2.1</v>
      </c>
      <c r="B170" s="27" t="s">
        <v>118</v>
      </c>
      <c r="C170" s="19" t="s">
        <v>1565</v>
      </c>
      <c r="D170" s="301">
        <v>334</v>
      </c>
      <c r="E170" s="301">
        <f>'Site Work'!E148</f>
        <v>369.41420113170915</v>
      </c>
      <c r="F170" s="295">
        <f>D170*E170</f>
        <v>123384.34317799086</v>
      </c>
    </row>
    <row r="171" spans="1:6" ht="12.75">
      <c r="A171" s="186"/>
      <c r="B171" s="29"/>
      <c r="C171" s="19"/>
      <c r="D171" s="301"/>
      <c r="E171" s="301"/>
      <c r="F171" s="295"/>
    </row>
    <row r="172" spans="1:9" ht="14.25">
      <c r="A172" s="244">
        <v>2.2</v>
      </c>
      <c r="B172" s="27" t="s">
        <v>119</v>
      </c>
      <c r="C172" s="19" t="s">
        <v>1565</v>
      </c>
      <c r="D172" s="301">
        <v>838</v>
      </c>
      <c r="E172" s="301">
        <f>'Residential Block'!E177</f>
        <v>304.7980754805711</v>
      </c>
      <c r="F172" s="295">
        <f>D172*E172</f>
        <v>255420.78725271855</v>
      </c>
      <c r="I172" s="42"/>
    </row>
    <row r="173" spans="1:6" ht="12.75">
      <c r="A173" s="244"/>
      <c r="B173" s="27"/>
      <c r="C173" s="19"/>
      <c r="D173" s="301"/>
      <c r="E173" s="301"/>
      <c r="F173" s="295"/>
    </row>
    <row r="174" spans="1:6" ht="11.25" customHeight="1">
      <c r="A174" s="243"/>
      <c r="B174" s="27"/>
      <c r="C174" s="19"/>
      <c r="D174" s="301"/>
      <c r="E174" s="301"/>
      <c r="F174" s="300"/>
    </row>
    <row r="175" spans="1:6" ht="13.5" thickBot="1">
      <c r="A175" s="244"/>
      <c r="B175" s="30" t="s">
        <v>1573</v>
      </c>
      <c r="C175" s="19"/>
      <c r="D175" s="301"/>
      <c r="E175" s="301"/>
      <c r="F175" s="462">
        <f>F170+F172</f>
        <v>378805.1304307094</v>
      </c>
    </row>
    <row r="176" spans="2:6" ht="13.5" thickTop="1">
      <c r="B176" s="29"/>
      <c r="C176" s="19"/>
      <c r="D176" s="301"/>
      <c r="E176" s="301"/>
      <c r="F176" s="300"/>
    </row>
    <row r="177" spans="1:6" s="43" customFormat="1" ht="12.75">
      <c r="A177" s="243">
        <v>3</v>
      </c>
      <c r="B177" s="28" t="s">
        <v>3160</v>
      </c>
      <c r="C177" s="19"/>
      <c r="D177" s="301"/>
      <c r="E177" s="301"/>
      <c r="F177" s="300"/>
    </row>
    <row r="178" spans="1:6" s="43" customFormat="1" ht="12.75">
      <c r="A178" s="243"/>
      <c r="B178" s="27"/>
      <c r="C178" s="19"/>
      <c r="D178" s="301"/>
      <c r="E178" s="301"/>
      <c r="F178" s="300"/>
    </row>
    <row r="179" spans="1:6" s="43" customFormat="1" ht="25.5">
      <c r="A179" s="199">
        <v>3.1</v>
      </c>
      <c r="B179" s="27" t="s">
        <v>121</v>
      </c>
      <c r="C179" s="19" t="s">
        <v>1565</v>
      </c>
      <c r="D179" s="301">
        <v>320</v>
      </c>
      <c r="E179" s="301">
        <f>'Cost break dow.'!V246</f>
        <v>161.5626438294266</v>
      </c>
      <c r="F179" s="295">
        <f>D179*E179</f>
        <v>51700.046025416515</v>
      </c>
    </row>
    <row r="180" spans="1:6" s="43" customFormat="1" ht="12.75">
      <c r="A180" s="199"/>
      <c r="B180" s="27"/>
      <c r="C180" s="19"/>
      <c r="D180" s="301"/>
      <c r="E180" s="301"/>
      <c r="F180" s="295"/>
    </row>
    <row r="181" spans="1:6" s="43" customFormat="1" ht="25.5">
      <c r="A181" s="199">
        <v>3.2</v>
      </c>
      <c r="B181" s="27" t="s">
        <v>122</v>
      </c>
      <c r="C181" s="19" t="s">
        <v>1565</v>
      </c>
      <c r="D181" s="301">
        <v>320</v>
      </c>
      <c r="E181" s="301">
        <f>'Cost break dow.'!V252</f>
        <v>134.09004385797257</v>
      </c>
      <c r="F181" s="295">
        <f>D181*E181</f>
        <v>42908.81403455122</v>
      </c>
    </row>
    <row r="182" spans="2:6" s="43" customFormat="1" ht="12.75">
      <c r="B182" s="27"/>
      <c r="C182" s="19"/>
      <c r="D182" s="301"/>
      <c r="E182" s="301"/>
      <c r="F182" s="295"/>
    </row>
    <row r="183" spans="1:6" s="43" customFormat="1" ht="26.25" customHeight="1">
      <c r="A183" s="199">
        <v>3.3</v>
      </c>
      <c r="B183" s="27" t="s">
        <v>2444</v>
      </c>
      <c r="C183" s="19" t="s">
        <v>1565</v>
      </c>
      <c r="D183" s="301">
        <v>320</v>
      </c>
      <c r="E183" s="301">
        <f>'Cost break dow.'!V380</f>
        <v>384.17608638115655</v>
      </c>
      <c r="F183" s="295">
        <f>D183*E183</f>
        <v>122936.34764197009</v>
      </c>
    </row>
    <row r="184" spans="2:6" s="43" customFormat="1" ht="12.75">
      <c r="B184" s="44"/>
      <c r="C184" s="45"/>
      <c r="D184" s="301"/>
      <c r="E184" s="301"/>
      <c r="F184" s="295"/>
    </row>
    <row r="185" spans="1:6" s="43" customFormat="1" ht="25.5" customHeight="1">
      <c r="A185" s="199">
        <v>3.4</v>
      </c>
      <c r="B185" s="27" t="s">
        <v>1429</v>
      </c>
      <c r="C185" s="19" t="s">
        <v>92</v>
      </c>
      <c r="D185" s="298">
        <v>91</v>
      </c>
      <c r="E185" s="301">
        <f>'Cost break dow.'!V235</f>
        <v>82.911836763889</v>
      </c>
      <c r="F185" s="295">
        <f>D185*E185</f>
        <v>7544.977145513899</v>
      </c>
    </row>
    <row r="186" spans="2:6" s="43" customFormat="1" ht="12.75">
      <c r="B186" s="27"/>
      <c r="C186" s="19"/>
      <c r="D186" s="301"/>
      <c r="E186" s="301"/>
      <c r="F186" s="295"/>
    </row>
    <row r="187" spans="1:6" s="43" customFormat="1" ht="12.75">
      <c r="A187" s="199">
        <v>3.5</v>
      </c>
      <c r="B187" s="46" t="s">
        <v>1430</v>
      </c>
      <c r="C187" s="19" t="s">
        <v>92</v>
      </c>
      <c r="D187" s="301">
        <v>44</v>
      </c>
      <c r="E187" s="301">
        <f>3.1*E185</f>
        <v>257.0266939680559</v>
      </c>
      <c r="F187" s="295">
        <f>D187*E187</f>
        <v>11309.17453459446</v>
      </c>
    </row>
    <row r="188" spans="1:6" s="43" customFormat="1" ht="12.75">
      <c r="A188" s="199"/>
      <c r="B188" s="46"/>
      <c r="C188" s="19"/>
      <c r="D188" s="301"/>
      <c r="E188" s="301"/>
      <c r="F188" s="295"/>
    </row>
    <row r="189" spans="1:6" s="43" customFormat="1" ht="12.75">
      <c r="A189" s="199">
        <v>3.6</v>
      </c>
      <c r="B189" s="46" t="s">
        <v>1431</v>
      </c>
      <c r="C189" s="19" t="s">
        <v>92</v>
      </c>
      <c r="D189" s="301">
        <v>104</v>
      </c>
      <c r="E189" s="301">
        <f>E185</f>
        <v>82.911836763889</v>
      </c>
      <c r="F189" s="295">
        <f>D189*E189</f>
        <v>8622.831023444456</v>
      </c>
    </row>
    <row r="190" spans="2:6" s="43" customFormat="1" ht="12.75">
      <c r="B190" s="27"/>
      <c r="C190" s="19"/>
      <c r="D190" s="301"/>
      <c r="E190" s="301"/>
      <c r="F190" s="295"/>
    </row>
    <row r="191" spans="1:6" s="43" customFormat="1" ht="25.5">
      <c r="A191" s="199">
        <v>3.7</v>
      </c>
      <c r="B191" s="27" t="s">
        <v>2445</v>
      </c>
      <c r="C191" s="19" t="s">
        <v>92</v>
      </c>
      <c r="D191" s="301">
        <v>136</v>
      </c>
      <c r="E191" s="301">
        <f>'Cost break dow.'!V240</f>
        <v>72.76441455066129</v>
      </c>
      <c r="F191" s="295">
        <f>D191*E191</f>
        <v>9895.960378889935</v>
      </c>
    </row>
    <row r="192" spans="1:6" s="43" customFormat="1" ht="12.75">
      <c r="A192" s="186"/>
      <c r="B192" s="46"/>
      <c r="C192" s="19"/>
      <c r="D192" s="301"/>
      <c r="E192" s="301"/>
      <c r="F192" s="295"/>
    </row>
    <row r="193" spans="1:6" s="43" customFormat="1" ht="13.5" thickBot="1">
      <c r="A193" s="186"/>
      <c r="B193" s="30" t="s">
        <v>1573</v>
      </c>
      <c r="C193" s="19"/>
      <c r="D193" s="301"/>
      <c r="E193" s="301"/>
      <c r="F193" s="462">
        <f>F179+F181+F183+F185+F187+F189+F191</f>
        <v>254918.15078438056</v>
      </c>
    </row>
    <row r="194" spans="2:6" s="43" customFormat="1" ht="13.5" thickTop="1">
      <c r="B194" s="31"/>
      <c r="C194" s="19"/>
      <c r="D194" s="301"/>
      <c r="E194" s="301"/>
      <c r="F194" s="300"/>
    </row>
    <row r="195" spans="1:6" s="43" customFormat="1" ht="12.75">
      <c r="A195" s="167">
        <v>4</v>
      </c>
      <c r="B195" s="13" t="s">
        <v>2446</v>
      </c>
      <c r="C195" s="19"/>
      <c r="D195" s="333"/>
      <c r="E195" s="301"/>
      <c r="F195" s="300"/>
    </row>
    <row r="196" spans="1:246" s="43" customFormat="1" ht="12.75">
      <c r="A196" s="17"/>
      <c r="B196" s="49"/>
      <c r="C196" s="48"/>
      <c r="D196" s="311"/>
      <c r="E196" s="311"/>
      <c r="F196" s="312"/>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49"/>
      <c r="BB196" s="49"/>
      <c r="BC196" s="49"/>
      <c r="BD196" s="49"/>
      <c r="BE196" s="49"/>
      <c r="BF196" s="49"/>
      <c r="BG196" s="49"/>
      <c r="BH196" s="49"/>
      <c r="BI196" s="49"/>
      <c r="BJ196" s="49"/>
      <c r="BK196" s="49"/>
      <c r="BL196" s="49"/>
      <c r="BM196" s="49"/>
      <c r="BN196" s="49"/>
      <c r="BO196" s="49"/>
      <c r="BP196" s="49"/>
      <c r="BQ196" s="49"/>
      <c r="BR196" s="49"/>
      <c r="BS196" s="49"/>
      <c r="BT196" s="49"/>
      <c r="BU196" s="49"/>
      <c r="BV196" s="49"/>
      <c r="BW196" s="49"/>
      <c r="BX196" s="49"/>
      <c r="BY196" s="49"/>
      <c r="BZ196" s="49"/>
      <c r="CA196" s="49"/>
      <c r="CB196" s="49"/>
      <c r="CC196" s="49"/>
      <c r="CD196" s="49"/>
      <c r="CE196" s="49"/>
      <c r="CF196" s="49"/>
      <c r="CG196" s="49"/>
      <c r="CH196" s="49"/>
      <c r="CI196" s="49"/>
      <c r="CJ196" s="49"/>
      <c r="CK196" s="49"/>
      <c r="CL196" s="49"/>
      <c r="CM196" s="49"/>
      <c r="CN196" s="49"/>
      <c r="CO196" s="49"/>
      <c r="CP196" s="49"/>
      <c r="CQ196" s="49"/>
      <c r="CR196" s="49"/>
      <c r="CS196" s="49"/>
      <c r="CT196" s="49"/>
      <c r="CU196" s="49"/>
      <c r="CV196" s="49"/>
      <c r="CW196" s="49"/>
      <c r="CX196" s="49"/>
      <c r="CY196" s="49"/>
      <c r="CZ196" s="49"/>
      <c r="DA196" s="49"/>
      <c r="DB196" s="49"/>
      <c r="DC196" s="49"/>
      <c r="DD196" s="49"/>
      <c r="DE196" s="49"/>
      <c r="DF196" s="49"/>
      <c r="DG196" s="49"/>
      <c r="DH196" s="49"/>
      <c r="DI196" s="49"/>
      <c r="DJ196" s="49"/>
      <c r="DK196" s="49"/>
      <c r="DL196" s="49"/>
      <c r="DM196" s="49"/>
      <c r="DN196" s="49"/>
      <c r="DO196" s="49"/>
      <c r="DP196" s="49"/>
      <c r="DQ196" s="49"/>
      <c r="DR196" s="49"/>
      <c r="DS196" s="49"/>
      <c r="DT196" s="49"/>
      <c r="DU196" s="49"/>
      <c r="DV196" s="49"/>
      <c r="DW196" s="49"/>
      <c r="DX196" s="49"/>
      <c r="DY196" s="49"/>
      <c r="DZ196" s="49"/>
      <c r="EA196" s="49"/>
      <c r="EB196" s="49"/>
      <c r="EC196" s="49"/>
      <c r="ED196" s="49"/>
      <c r="EE196" s="49"/>
      <c r="EF196" s="49"/>
      <c r="EG196" s="49"/>
      <c r="EH196" s="49"/>
      <c r="EI196" s="49"/>
      <c r="EJ196" s="49"/>
      <c r="EK196" s="49"/>
      <c r="EL196" s="49"/>
      <c r="EM196" s="49"/>
      <c r="EN196" s="49"/>
      <c r="EO196" s="49"/>
      <c r="EP196" s="49"/>
      <c r="EQ196" s="49"/>
      <c r="ER196" s="49"/>
      <c r="ES196" s="49"/>
      <c r="ET196" s="49"/>
      <c r="EU196" s="49"/>
      <c r="EV196" s="49"/>
      <c r="EW196" s="49"/>
      <c r="EX196" s="49"/>
      <c r="EY196" s="49"/>
      <c r="EZ196" s="49"/>
      <c r="FA196" s="49"/>
      <c r="FB196" s="49"/>
      <c r="FC196" s="49"/>
      <c r="FD196" s="49"/>
      <c r="FE196" s="49"/>
      <c r="FF196" s="49"/>
      <c r="FG196" s="49"/>
      <c r="FH196" s="49"/>
      <c r="FI196" s="49"/>
      <c r="FJ196" s="49"/>
      <c r="FK196" s="49"/>
      <c r="FL196" s="49"/>
      <c r="FM196" s="49"/>
      <c r="FN196" s="49"/>
      <c r="FO196" s="49"/>
      <c r="FP196" s="49"/>
      <c r="FQ196" s="49"/>
      <c r="FR196" s="49"/>
      <c r="FS196" s="49"/>
      <c r="FT196" s="49"/>
      <c r="FU196" s="49"/>
      <c r="FV196" s="49"/>
      <c r="FW196" s="49"/>
      <c r="FX196" s="49"/>
      <c r="FY196" s="49"/>
      <c r="FZ196" s="49"/>
      <c r="GA196" s="49"/>
      <c r="GB196" s="49"/>
      <c r="GC196" s="49"/>
      <c r="GD196" s="49"/>
      <c r="GE196" s="49"/>
      <c r="GF196" s="49"/>
      <c r="GG196" s="49"/>
      <c r="GH196" s="49"/>
      <c r="GI196" s="49"/>
      <c r="GJ196" s="49"/>
      <c r="GK196" s="49"/>
      <c r="GL196" s="49"/>
      <c r="GM196" s="49"/>
      <c r="GN196" s="49"/>
      <c r="GO196" s="49"/>
      <c r="GP196" s="49"/>
      <c r="GQ196" s="49"/>
      <c r="GR196" s="49"/>
      <c r="GS196" s="49"/>
      <c r="GT196" s="49"/>
      <c r="GU196" s="49"/>
      <c r="GV196" s="49"/>
      <c r="GW196" s="49"/>
      <c r="GX196" s="49"/>
      <c r="GY196" s="49"/>
      <c r="GZ196" s="49"/>
      <c r="HA196" s="49"/>
      <c r="HB196" s="49"/>
      <c r="HC196" s="49"/>
      <c r="HD196" s="49"/>
      <c r="HE196" s="49"/>
      <c r="HF196" s="49"/>
      <c r="HG196" s="49"/>
      <c r="HH196" s="49"/>
      <c r="HI196" s="49"/>
      <c r="HJ196" s="49"/>
      <c r="HK196" s="49"/>
      <c r="HL196" s="49"/>
      <c r="HM196" s="49"/>
      <c r="HN196" s="49"/>
      <c r="HO196" s="49"/>
      <c r="HP196" s="49"/>
      <c r="HQ196" s="49"/>
      <c r="HR196" s="49"/>
      <c r="HS196" s="49"/>
      <c r="HT196" s="49"/>
      <c r="HU196" s="49"/>
      <c r="HV196" s="49"/>
      <c r="HW196" s="49"/>
      <c r="HX196" s="49"/>
      <c r="HY196" s="49"/>
      <c r="HZ196" s="49"/>
      <c r="IA196" s="49"/>
      <c r="IB196" s="49"/>
      <c r="IC196" s="49"/>
      <c r="ID196" s="49"/>
      <c r="IE196" s="49"/>
      <c r="IF196" s="49"/>
      <c r="IG196" s="49"/>
      <c r="IH196" s="49"/>
      <c r="II196" s="49"/>
      <c r="IJ196" s="49"/>
      <c r="IK196" s="49"/>
      <c r="IL196" s="49"/>
    </row>
    <row r="197" spans="1:6" s="43" customFormat="1" ht="89.25">
      <c r="A197" s="17"/>
      <c r="B197" s="18" t="s">
        <v>2849</v>
      </c>
      <c r="C197" s="19"/>
      <c r="D197" s="333"/>
      <c r="E197" s="301"/>
      <c r="F197" s="300"/>
    </row>
    <row r="198" spans="2:6" s="43" customFormat="1" ht="10.5" customHeight="1">
      <c r="B198" s="18"/>
      <c r="C198" s="19"/>
      <c r="D198" s="333"/>
      <c r="E198" s="301"/>
      <c r="F198" s="300"/>
    </row>
    <row r="199" spans="1:6" s="43" customFormat="1" ht="12.75">
      <c r="A199" s="17">
        <v>4.1</v>
      </c>
      <c r="B199" s="18" t="s">
        <v>3023</v>
      </c>
      <c r="C199" s="19" t="s">
        <v>2850</v>
      </c>
      <c r="D199" s="333">
        <v>12</v>
      </c>
      <c r="E199" s="301">
        <f>0.7*3.1*'Cost break dow.'!V280</f>
        <v>4531.710071305331</v>
      </c>
      <c r="F199" s="295">
        <f>D199*E199</f>
        <v>54380.52085566398</v>
      </c>
    </row>
    <row r="200" spans="1:6" s="43" customFormat="1" ht="12.75">
      <c r="A200" s="17"/>
      <c r="B200" s="18"/>
      <c r="C200" s="19"/>
      <c r="D200" s="333"/>
      <c r="E200" s="301"/>
      <c r="F200" s="295"/>
    </row>
    <row r="201" spans="1:6" s="43" customFormat="1" ht="12.75">
      <c r="A201" s="17">
        <v>4.2</v>
      </c>
      <c r="B201" s="18" t="s">
        <v>3024</v>
      </c>
      <c r="C201" s="19" t="s">
        <v>2850</v>
      </c>
      <c r="D201" s="333">
        <v>4</v>
      </c>
      <c r="E201" s="301">
        <f>1.4*3.1*'Cost break dow.'!V280</f>
        <v>9063.420142610663</v>
      </c>
      <c r="F201" s="295">
        <f>D201*E201</f>
        <v>36253.68057044265</v>
      </c>
    </row>
    <row r="202" spans="2:6" s="43" customFormat="1" ht="12.75">
      <c r="B202" s="18"/>
      <c r="C202" s="19"/>
      <c r="D202" s="333"/>
      <c r="E202" s="301"/>
      <c r="F202" s="295"/>
    </row>
    <row r="203" spans="1:6" s="43" customFormat="1" ht="14.25" customHeight="1">
      <c r="A203" s="17">
        <v>4.3</v>
      </c>
      <c r="B203" s="18" t="s">
        <v>3144</v>
      </c>
      <c r="C203" s="19" t="s">
        <v>2850</v>
      </c>
      <c r="D203" s="333">
        <v>2</v>
      </c>
      <c r="E203" s="301">
        <f>0.8*3.1*'Cost break dow.'!V280</f>
        <v>5179.097224348951</v>
      </c>
      <c r="F203" s="295">
        <f>D203*E203</f>
        <v>10358.194448697903</v>
      </c>
    </row>
    <row r="204" spans="2:6" s="43" customFormat="1" ht="14.25" customHeight="1">
      <c r="B204" s="18"/>
      <c r="C204" s="19"/>
      <c r="D204" s="333"/>
      <c r="E204" s="301"/>
      <c r="F204" s="295"/>
    </row>
    <row r="205" spans="1:6" s="43" customFormat="1" ht="14.25" customHeight="1">
      <c r="A205" s="17">
        <v>4.4</v>
      </c>
      <c r="B205" s="18" t="s">
        <v>3145</v>
      </c>
      <c r="C205" s="19" t="s">
        <v>2850</v>
      </c>
      <c r="D205" s="333">
        <v>1</v>
      </c>
      <c r="E205" s="301">
        <f>2.1*3.1*'Cost break dow.'!V280</f>
        <v>13595.130213915996</v>
      </c>
      <c r="F205" s="295">
        <f>D205*E205</f>
        <v>13595.130213915996</v>
      </c>
    </row>
    <row r="206" spans="1:6" s="43" customFormat="1" ht="14.25" customHeight="1">
      <c r="A206" s="17"/>
      <c r="B206" s="18"/>
      <c r="C206" s="19"/>
      <c r="D206" s="333"/>
      <c r="E206" s="301"/>
      <c r="F206" s="295"/>
    </row>
    <row r="207" spans="1:6" s="43" customFormat="1" ht="12.75">
      <c r="A207" s="17">
        <v>4.5</v>
      </c>
      <c r="B207" s="18" t="s">
        <v>2009</v>
      </c>
      <c r="C207" s="19" t="s">
        <v>2850</v>
      </c>
      <c r="D207" s="333">
        <v>2</v>
      </c>
      <c r="E207" s="301">
        <f>0.8*3.1*'Cost break dow.'!V280</f>
        <v>5179.097224348951</v>
      </c>
      <c r="F207" s="295">
        <f>D207*E207</f>
        <v>10358.194448697903</v>
      </c>
    </row>
    <row r="208" ht="12.75">
      <c r="A208" s="17"/>
    </row>
    <row r="209" spans="1:6" ht="13.5" customHeight="1" thickBot="1">
      <c r="A209" s="17"/>
      <c r="B209" s="51" t="s">
        <v>1573</v>
      </c>
      <c r="C209" s="52"/>
      <c r="D209" s="298"/>
      <c r="E209" s="301"/>
      <c r="F209" s="462">
        <f>F199+F201+F203+F205+F207</f>
        <v>124945.72053741843</v>
      </c>
    </row>
    <row r="210" spans="1:6" ht="12.75" customHeight="1" thickTop="1">
      <c r="A210" s="17"/>
      <c r="B210" s="18"/>
      <c r="C210" s="52"/>
      <c r="D210" s="298"/>
      <c r="E210" s="301"/>
      <c r="F210" s="300"/>
    </row>
    <row r="211" spans="1:6" ht="13.5" customHeight="1">
      <c r="A211" s="167">
        <v>5</v>
      </c>
      <c r="B211" s="13" t="s">
        <v>3162</v>
      </c>
      <c r="C211" s="52"/>
      <c r="D211" s="298"/>
      <c r="E211" s="301"/>
      <c r="F211" s="300"/>
    </row>
    <row r="212" spans="1:6" ht="13.5" customHeight="1">
      <c r="A212" s="17"/>
      <c r="B212" s="18"/>
      <c r="C212" s="52"/>
      <c r="D212" s="298"/>
      <c r="E212" s="301"/>
      <c r="F212" s="300"/>
    </row>
    <row r="213" spans="1:6" ht="204">
      <c r="A213" s="17"/>
      <c r="B213" s="27" t="s">
        <v>1991</v>
      </c>
      <c r="C213" s="52"/>
      <c r="D213" s="298"/>
      <c r="E213" s="301"/>
      <c r="F213" s="300"/>
    </row>
    <row r="214" spans="1:6" ht="13.5" customHeight="1">
      <c r="A214" s="17"/>
      <c r="B214" s="27"/>
      <c r="C214" s="52"/>
      <c r="D214" s="298"/>
      <c r="E214" s="301"/>
      <c r="F214" s="300"/>
    </row>
    <row r="215" spans="2:6" ht="12.75" customHeight="1">
      <c r="B215" s="53" t="s">
        <v>1992</v>
      </c>
      <c r="C215" s="19"/>
      <c r="D215" s="298"/>
      <c r="E215" s="301"/>
      <c r="F215" s="300"/>
    </row>
    <row r="216" spans="2:6" ht="10.5" customHeight="1">
      <c r="B216" s="18"/>
      <c r="C216" s="19"/>
      <c r="D216" s="298"/>
      <c r="E216" s="301"/>
      <c r="F216" s="300"/>
    </row>
    <row r="217" spans="1:6" ht="14.25" customHeight="1">
      <c r="A217" s="17">
        <v>5.1</v>
      </c>
      <c r="B217" s="18" t="s">
        <v>2703</v>
      </c>
      <c r="C217" s="19" t="s">
        <v>2850</v>
      </c>
      <c r="D217" s="298">
        <v>1</v>
      </c>
      <c r="E217" s="301">
        <f>3.15*3.1*'Cost break dow.'!V312</f>
        <v>38104.91854352367</v>
      </c>
      <c r="F217" s="295">
        <f>D217*E217</f>
        <v>38104.91854352367</v>
      </c>
    </row>
    <row r="218" spans="2:6" ht="10.5" customHeight="1">
      <c r="B218" s="18"/>
      <c r="C218" s="19"/>
      <c r="D218" s="298"/>
      <c r="E218" s="301"/>
      <c r="F218" s="295"/>
    </row>
    <row r="219" spans="1:6" ht="14.25" customHeight="1">
      <c r="A219" s="17">
        <v>5.2</v>
      </c>
      <c r="B219" s="18" t="s">
        <v>2704</v>
      </c>
      <c r="C219" s="19" t="s">
        <v>2850</v>
      </c>
      <c r="D219" s="298">
        <v>1</v>
      </c>
      <c r="E219" s="301">
        <f>6.85*3.1*'Cost break dow.'!V312</f>
        <v>82863.07683274195</v>
      </c>
      <c r="F219" s="295">
        <f>D219*E219</f>
        <v>82863.07683274195</v>
      </c>
    </row>
    <row r="220" spans="2:6" ht="12" customHeight="1">
      <c r="B220" s="18"/>
      <c r="C220" s="19"/>
      <c r="D220" s="298"/>
      <c r="E220" s="301"/>
      <c r="F220" s="295"/>
    </row>
    <row r="221" spans="1:6" ht="14.25" customHeight="1">
      <c r="A221" s="17">
        <v>5.3</v>
      </c>
      <c r="B221" s="18" t="s">
        <v>2764</v>
      </c>
      <c r="C221" s="19" t="s">
        <v>2850</v>
      </c>
      <c r="D221" s="298">
        <v>1</v>
      </c>
      <c r="E221" s="301">
        <f>1.84*3.1*'Cost break dow.'!V312</f>
        <v>22258.111149232875</v>
      </c>
      <c r="F221" s="295">
        <f>D221*E221</f>
        <v>22258.111149232875</v>
      </c>
    </row>
    <row r="222" spans="2:6" ht="9" customHeight="1">
      <c r="B222" s="18"/>
      <c r="C222" s="19"/>
      <c r="D222" s="298"/>
      <c r="E222" s="301"/>
      <c r="F222" s="295"/>
    </row>
    <row r="223" spans="1:6" ht="14.25" customHeight="1">
      <c r="A223" s="17">
        <v>5.4</v>
      </c>
      <c r="B223" s="18" t="s">
        <v>2705</v>
      </c>
      <c r="C223" s="19" t="s">
        <v>2850</v>
      </c>
      <c r="D223" s="298">
        <v>1</v>
      </c>
      <c r="E223" s="301">
        <f>6.84*3.1*'Cost break dow.'!V312</f>
        <v>82742.10883736568</v>
      </c>
      <c r="F223" s="295">
        <f>D223*E223</f>
        <v>82742.10883736568</v>
      </c>
    </row>
    <row r="224" spans="2:6" ht="9" customHeight="1">
      <c r="B224" s="18"/>
      <c r="C224" s="19"/>
      <c r="D224" s="298"/>
      <c r="E224" s="301"/>
      <c r="F224" s="295"/>
    </row>
    <row r="225" spans="1:6" ht="14.25" customHeight="1">
      <c r="A225" s="17">
        <v>5.5</v>
      </c>
      <c r="B225" s="18" t="s">
        <v>2706</v>
      </c>
      <c r="C225" s="19" t="s">
        <v>2850</v>
      </c>
      <c r="D225" s="298">
        <v>1</v>
      </c>
      <c r="E225" s="301">
        <f>4.6*3.1*'Cost break dow.'!V312</f>
        <v>55645.27787308218</v>
      </c>
      <c r="F225" s="295">
        <f>D225*E225</f>
        <v>55645.27787308218</v>
      </c>
    </row>
    <row r="226" spans="2:6" ht="12.75" customHeight="1">
      <c r="B226" s="18"/>
      <c r="C226" s="19"/>
      <c r="D226" s="298"/>
      <c r="E226" s="301"/>
      <c r="F226" s="295"/>
    </row>
    <row r="227" spans="1:6" ht="14.25" customHeight="1">
      <c r="A227" s="17">
        <v>5.6</v>
      </c>
      <c r="B227" s="18" t="s">
        <v>2707</v>
      </c>
      <c r="C227" s="19" t="s">
        <v>2850</v>
      </c>
      <c r="D227" s="298">
        <v>1</v>
      </c>
      <c r="E227" s="301">
        <f>5.85*3.1*'Cost break dow.'!V312</f>
        <v>70766.27729511537</v>
      </c>
      <c r="F227" s="295">
        <f>D227*E227</f>
        <v>70766.27729511537</v>
      </c>
    </row>
    <row r="228" spans="2:6" ht="12.75" customHeight="1">
      <c r="B228" s="18"/>
      <c r="C228" s="19"/>
      <c r="D228" s="298"/>
      <c r="E228" s="301"/>
      <c r="F228" s="295"/>
    </row>
    <row r="229" spans="1:6" ht="14.25" customHeight="1">
      <c r="A229" s="17">
        <v>5.7</v>
      </c>
      <c r="B229" s="18" t="s">
        <v>2708</v>
      </c>
      <c r="C229" s="19" t="s">
        <v>2850</v>
      </c>
      <c r="D229" s="298">
        <v>1</v>
      </c>
      <c r="E229" s="301">
        <f>2.5*3.1*'Cost break dow.'!V312</f>
        <v>30241.998844066406</v>
      </c>
      <c r="F229" s="295">
        <f>D229*E229</f>
        <v>30241.998844066406</v>
      </c>
    </row>
    <row r="230" spans="2:6" ht="8.25" customHeight="1">
      <c r="B230" s="18"/>
      <c r="C230" s="19"/>
      <c r="D230" s="298"/>
      <c r="E230" s="301"/>
      <c r="F230" s="295"/>
    </row>
    <row r="231" spans="1:6" ht="14.25" customHeight="1">
      <c r="A231" s="17">
        <v>5.8</v>
      </c>
      <c r="B231" s="18" t="s">
        <v>2709</v>
      </c>
      <c r="C231" s="19" t="s">
        <v>2850</v>
      </c>
      <c r="D231" s="298">
        <v>2</v>
      </c>
      <c r="E231" s="301">
        <f>11.2*3.1*'Cost break dow.'!V312</f>
        <v>135484.1548214175</v>
      </c>
      <c r="F231" s="295">
        <f>D231*E231</f>
        <v>270968.309642835</v>
      </c>
    </row>
    <row r="232" spans="2:6" ht="9" customHeight="1">
      <c r="B232" s="18"/>
      <c r="C232" s="19"/>
      <c r="D232" s="298"/>
      <c r="E232" s="301"/>
      <c r="F232" s="295"/>
    </row>
    <row r="233" spans="1:6" ht="15" customHeight="1">
      <c r="A233" s="17">
        <v>5.9</v>
      </c>
      <c r="B233" s="18" t="s">
        <v>2710</v>
      </c>
      <c r="C233" s="19" t="s">
        <v>2850</v>
      </c>
      <c r="D233" s="298">
        <v>3</v>
      </c>
      <c r="E233" s="301">
        <f>6.85*3.1*'Cost break dow.'!V312</f>
        <v>82863.07683274195</v>
      </c>
      <c r="F233" s="295">
        <f>D233*E233</f>
        <v>248589.23049822584</v>
      </c>
    </row>
    <row r="234" spans="1:6" ht="14.25" customHeight="1">
      <c r="A234" s="17"/>
      <c r="B234" s="18"/>
      <c r="C234" s="19"/>
      <c r="D234" s="298"/>
      <c r="E234" s="301"/>
      <c r="F234" s="295"/>
    </row>
    <row r="235" spans="1:6" ht="14.25" customHeight="1">
      <c r="A235" s="197">
        <v>5.1</v>
      </c>
      <c r="B235" s="18" t="s">
        <v>2711</v>
      </c>
      <c r="C235" s="19" t="s">
        <v>2850</v>
      </c>
      <c r="D235" s="298">
        <v>1</v>
      </c>
      <c r="E235" s="301">
        <f>4.5*3.1*'Cost break dow.'!V312</f>
        <v>54435.59791931953</v>
      </c>
      <c r="F235" s="295">
        <f>D235*E235</f>
        <v>54435.59791931953</v>
      </c>
    </row>
    <row r="236" spans="1:6" ht="14.25" customHeight="1">
      <c r="A236" s="17"/>
      <c r="B236" s="18"/>
      <c r="C236" s="19"/>
      <c r="D236" s="298"/>
      <c r="E236" s="301"/>
      <c r="F236" s="295"/>
    </row>
    <row r="237" spans="1:6" ht="14.25" customHeight="1">
      <c r="A237" s="17">
        <v>5.11</v>
      </c>
      <c r="B237" s="18" t="s">
        <v>2712</v>
      </c>
      <c r="C237" s="19" t="s">
        <v>2850</v>
      </c>
      <c r="D237" s="298">
        <v>1</v>
      </c>
      <c r="E237" s="301">
        <f>3.15*3.1*'Cost break dow.'!V312</f>
        <v>38104.91854352367</v>
      </c>
      <c r="F237" s="295">
        <f>D237*E237</f>
        <v>38104.91854352367</v>
      </c>
    </row>
    <row r="238" spans="2:6" ht="10.5" customHeight="1">
      <c r="B238" s="18"/>
      <c r="C238" s="19"/>
      <c r="D238" s="298"/>
      <c r="E238" s="301"/>
      <c r="F238" s="295"/>
    </row>
    <row r="239" spans="1:6" ht="11.25" customHeight="1">
      <c r="A239" s="17"/>
      <c r="B239" s="18" t="s">
        <v>1993</v>
      </c>
      <c r="C239" s="19"/>
      <c r="D239" s="298"/>
      <c r="E239" s="301"/>
      <c r="F239" s="295"/>
    </row>
    <row r="240" spans="1:6" ht="12.75">
      <c r="A240" s="17"/>
      <c r="B240" s="18"/>
      <c r="C240" s="19"/>
      <c r="D240" s="298"/>
      <c r="E240" s="301"/>
      <c r="F240" s="295"/>
    </row>
    <row r="241" spans="1:6" ht="12.75">
      <c r="A241" s="87">
        <v>5.12</v>
      </c>
      <c r="B241" s="18" t="s">
        <v>2713</v>
      </c>
      <c r="C241" s="19" t="s">
        <v>2850</v>
      </c>
      <c r="D241" s="298">
        <v>1</v>
      </c>
      <c r="E241" s="301">
        <f>2.47*3.1*'Cost break dow.'!V312</f>
        <v>29879.094857937613</v>
      </c>
      <c r="F241" s="295">
        <f>D241*E241</f>
        <v>29879.094857937613</v>
      </c>
    </row>
    <row r="242" spans="1:6" ht="12.75">
      <c r="A242" s="17"/>
      <c r="B242" s="18"/>
      <c r="C242" s="19"/>
      <c r="D242" s="298"/>
      <c r="E242" s="301"/>
      <c r="F242" s="295"/>
    </row>
    <row r="243" spans="1:6" ht="12.75">
      <c r="A243" s="17">
        <v>5.13</v>
      </c>
      <c r="B243" s="18" t="s">
        <v>2714</v>
      </c>
      <c r="C243" s="19" t="s">
        <v>2850</v>
      </c>
      <c r="D243" s="298">
        <v>1</v>
      </c>
      <c r="E243" s="301">
        <f>5.7*3.1*'Cost break dow.'!V312</f>
        <v>68951.75736447141</v>
      </c>
      <c r="F243" s="295">
        <f>D243*E243</f>
        <v>68951.75736447141</v>
      </c>
    </row>
    <row r="244" spans="2:6" ht="12.75">
      <c r="B244" s="18"/>
      <c r="C244" s="19"/>
      <c r="D244" s="298"/>
      <c r="E244" s="301"/>
      <c r="F244" s="295"/>
    </row>
    <row r="245" spans="1:6" ht="12.75">
      <c r="A245" s="17">
        <v>5.14</v>
      </c>
      <c r="B245" s="18" t="s">
        <v>2716</v>
      </c>
      <c r="C245" s="19" t="s">
        <v>2850</v>
      </c>
      <c r="D245" s="298">
        <v>13</v>
      </c>
      <c r="E245" s="301">
        <f>6.6*2.2*'Cost break dow.'!V312</f>
        <v>56659.84815688312</v>
      </c>
      <c r="F245" s="295">
        <f>D245*E245</f>
        <v>736578.0260394806</v>
      </c>
    </row>
    <row r="246" spans="1:6" ht="12.75">
      <c r="A246" s="17"/>
      <c r="B246" s="18"/>
      <c r="C246" s="19"/>
      <c r="D246" s="298"/>
      <c r="E246" s="301"/>
      <c r="F246" s="295"/>
    </row>
    <row r="247" spans="1:6" ht="12.75">
      <c r="A247" s="87">
        <v>5.15</v>
      </c>
      <c r="B247" s="18" t="s">
        <v>2717</v>
      </c>
      <c r="C247" s="19" t="s">
        <v>2850</v>
      </c>
      <c r="D247" s="298">
        <v>15</v>
      </c>
      <c r="E247" s="301">
        <f>1*1*'Cost break dow.'!V312</f>
        <v>3902.1933992343747</v>
      </c>
      <c r="F247" s="295">
        <f>D247*E247</f>
        <v>58532.90098851562</v>
      </c>
    </row>
    <row r="248" spans="2:6" ht="12.75">
      <c r="B248" s="18"/>
      <c r="C248" s="19"/>
      <c r="D248" s="298"/>
      <c r="E248" s="301"/>
      <c r="F248" s="295"/>
    </row>
    <row r="249" spans="1:6" ht="12.75">
      <c r="A249" s="17">
        <v>5.16</v>
      </c>
      <c r="B249" s="18" t="s">
        <v>2718</v>
      </c>
      <c r="C249" s="19" t="s">
        <v>2850</v>
      </c>
      <c r="D249" s="298">
        <v>2</v>
      </c>
      <c r="E249" s="301">
        <f>4*2.2*'Cost break dow.'!V312</f>
        <v>34339.3019132625</v>
      </c>
      <c r="F249" s="295">
        <f>D249*E249</f>
        <v>68678.603826525</v>
      </c>
    </row>
    <row r="250" spans="1:6" ht="12.75">
      <c r="A250" s="17"/>
      <c r="B250" s="18"/>
      <c r="C250" s="19"/>
      <c r="D250" s="298"/>
      <c r="E250" s="301"/>
      <c r="F250" s="295"/>
    </row>
    <row r="251" spans="1:6" ht="12.75">
      <c r="A251" s="87">
        <v>5.17</v>
      </c>
      <c r="B251" s="18" t="s">
        <v>2719</v>
      </c>
      <c r="C251" s="19" t="s">
        <v>2850</v>
      </c>
      <c r="D251" s="298">
        <v>2</v>
      </c>
      <c r="E251" s="301">
        <f>2.96*2.2*'Cost break dow.'!V312</f>
        <v>25411.08341581425</v>
      </c>
      <c r="F251" s="295">
        <f>D251*E251</f>
        <v>50822.1668316285</v>
      </c>
    </row>
    <row r="252" spans="1:6" ht="12.75">
      <c r="A252" s="4"/>
      <c r="B252" s="18"/>
      <c r="C252" s="19"/>
      <c r="D252" s="298"/>
      <c r="E252" s="301"/>
      <c r="F252" s="295"/>
    </row>
    <row r="253" spans="1:6" ht="12.75">
      <c r="A253" s="87">
        <v>5.18</v>
      </c>
      <c r="B253" s="18" t="s">
        <v>2720</v>
      </c>
      <c r="C253" s="19" t="s">
        <v>2850</v>
      </c>
      <c r="D253" s="298">
        <v>1</v>
      </c>
      <c r="E253" s="301">
        <f>2.15*1*'Cost break dow.'!V312</f>
        <v>8389.715808353905</v>
      </c>
      <c r="F253" s="295">
        <f>D253*E253</f>
        <v>8389.715808353905</v>
      </c>
    </row>
    <row r="254" spans="1:6" ht="15" customHeight="1">
      <c r="A254" s="17"/>
      <c r="B254" s="18"/>
      <c r="C254" s="19"/>
      <c r="D254" s="298"/>
      <c r="E254" s="298"/>
      <c r="F254" s="295"/>
    </row>
    <row r="255" spans="1:6" ht="51">
      <c r="A255" s="17"/>
      <c r="B255" s="29" t="s">
        <v>241</v>
      </c>
      <c r="C255" s="19" t="s">
        <v>92</v>
      </c>
      <c r="D255" s="298">
        <v>120</v>
      </c>
      <c r="E255" s="301">
        <f>1200</f>
        <v>1200</v>
      </c>
      <c r="F255" s="295">
        <f>D255*E255</f>
        <v>144000</v>
      </c>
    </row>
    <row r="256" spans="2:6" ht="12.75">
      <c r="B256" s="29"/>
      <c r="C256" s="19"/>
      <c r="D256" s="298"/>
      <c r="E256" s="301"/>
      <c r="F256" s="295"/>
    </row>
    <row r="257" spans="1:6" ht="12.75">
      <c r="A257" s="17">
        <v>5.19</v>
      </c>
      <c r="B257" s="29" t="s">
        <v>60</v>
      </c>
      <c r="C257" s="19" t="s">
        <v>92</v>
      </c>
      <c r="D257" s="298">
        <v>192</v>
      </c>
      <c r="E257" s="301">
        <f>450</f>
        <v>450</v>
      </c>
      <c r="F257" s="295">
        <f>D257*E257</f>
        <v>86400</v>
      </c>
    </row>
    <row r="258" ht="12.75">
      <c r="A258" s="17"/>
    </row>
    <row r="259" spans="1:6" ht="12.75">
      <c r="A259" s="197">
        <v>5.2</v>
      </c>
      <c r="B259" s="29" t="s">
        <v>242</v>
      </c>
      <c r="C259" s="19" t="s">
        <v>92</v>
      </c>
      <c r="D259" s="298">
        <v>192</v>
      </c>
      <c r="E259" s="301">
        <f>1200</f>
        <v>1200</v>
      </c>
      <c r="F259" s="295">
        <f>D259*E259</f>
        <v>230400</v>
      </c>
    </row>
    <row r="260" ht="12.75">
      <c r="A260" s="187"/>
    </row>
    <row r="261" spans="2:6" ht="13.5" customHeight="1" thickBot="1">
      <c r="B261" s="51" t="s">
        <v>1573</v>
      </c>
      <c r="C261" s="19"/>
      <c r="D261" s="298"/>
      <c r="E261" s="301"/>
      <c r="F261" s="462">
        <f>F217+F219+F221+F223+F225+F227+F229+F231+F233+F235+F237+F241+F243+F245+F247+F249+F251+F253+F255+F257+F259</f>
        <v>2477352.091695945</v>
      </c>
    </row>
    <row r="262" spans="1:6" ht="11.25" customHeight="1" thickTop="1">
      <c r="A262" s="187"/>
      <c r="B262" s="18"/>
      <c r="C262" s="19"/>
      <c r="D262" s="298"/>
      <c r="E262" s="301"/>
      <c r="F262" s="300"/>
    </row>
    <row r="263" spans="1:6" s="43" customFormat="1" ht="12.75">
      <c r="A263" s="17"/>
      <c r="B263" s="89"/>
      <c r="C263" s="2"/>
      <c r="D263" s="310"/>
      <c r="E263" s="313"/>
      <c r="F263" s="314"/>
    </row>
    <row r="264" spans="1:6" s="60" customFormat="1" ht="16.5" customHeight="1">
      <c r="A264" s="167">
        <v>6</v>
      </c>
      <c r="B264" s="13" t="s">
        <v>3163</v>
      </c>
      <c r="C264" s="19"/>
      <c r="D264" s="298"/>
      <c r="E264" s="301"/>
      <c r="F264" s="300"/>
    </row>
    <row r="265" spans="1:6" s="60" customFormat="1" ht="12.75">
      <c r="A265" s="17"/>
      <c r="B265" s="18"/>
      <c r="C265" s="19"/>
      <c r="D265" s="298"/>
      <c r="E265" s="301"/>
      <c r="F265" s="300"/>
    </row>
    <row r="266" spans="1:6" s="60" customFormat="1" ht="25.5">
      <c r="A266" s="17">
        <v>6.1</v>
      </c>
      <c r="B266" s="18" t="s">
        <v>243</v>
      </c>
      <c r="C266" s="19" t="s">
        <v>1565</v>
      </c>
      <c r="D266" s="298">
        <v>663</v>
      </c>
      <c r="E266" s="301">
        <f>'Cost break dow.'!V336</f>
        <v>159.96728093410925</v>
      </c>
      <c r="F266" s="295">
        <f>D266*E266</f>
        <v>106058.30725931443</v>
      </c>
    </row>
    <row r="267" spans="1:6" s="60" customFormat="1" ht="12.75">
      <c r="A267" s="17"/>
      <c r="B267" s="18"/>
      <c r="C267" s="19"/>
      <c r="D267" s="298"/>
      <c r="E267" s="301"/>
      <c r="F267" s="295"/>
    </row>
    <row r="268" spans="1:6" s="60" customFormat="1" ht="14.25">
      <c r="A268" s="17">
        <v>6.2</v>
      </c>
      <c r="B268" s="18" t="s">
        <v>246</v>
      </c>
      <c r="C268" s="19" t="s">
        <v>1565</v>
      </c>
      <c r="D268" s="298">
        <v>69</v>
      </c>
      <c r="E268" s="301">
        <f>'Cost break dow.'!V342</f>
        <v>192.42986749622588</v>
      </c>
      <c r="F268" s="295">
        <f>D268*E268</f>
        <v>13277.660857239585</v>
      </c>
    </row>
    <row r="269" spans="1:6" s="60" customFormat="1" ht="9.75" customHeight="1">
      <c r="A269" s="17"/>
      <c r="B269" s="18"/>
      <c r="C269" s="19"/>
      <c r="D269" s="298"/>
      <c r="E269" s="301"/>
      <c r="F269" s="295"/>
    </row>
    <row r="270" spans="1:6" s="60" customFormat="1" ht="14.25">
      <c r="A270" s="17">
        <v>6.3</v>
      </c>
      <c r="B270" s="18" t="s">
        <v>247</v>
      </c>
      <c r="C270" s="19" t="s">
        <v>1565</v>
      </c>
      <c r="D270" s="298">
        <v>140</v>
      </c>
      <c r="E270" s="301">
        <f>E268</f>
        <v>192.42986749622588</v>
      </c>
      <c r="F270" s="295">
        <f>D270*E270</f>
        <v>26940.181449471624</v>
      </c>
    </row>
    <row r="271" spans="1:6" s="60" customFormat="1" ht="12.75">
      <c r="A271" s="17"/>
      <c r="B271" s="18"/>
      <c r="C271" s="19"/>
      <c r="D271" s="298"/>
      <c r="E271" s="301"/>
      <c r="F271" s="295"/>
    </row>
    <row r="272" spans="1:6" s="60" customFormat="1" ht="38.25">
      <c r="A272" s="17">
        <v>6.4</v>
      </c>
      <c r="B272" s="18" t="s">
        <v>1444</v>
      </c>
      <c r="C272" s="19" t="s">
        <v>1565</v>
      </c>
      <c r="D272" s="298">
        <v>1103</v>
      </c>
      <c r="E272" s="301">
        <f>'Cost break dow.'!V347</f>
        <v>135.07482520401282</v>
      </c>
      <c r="F272" s="295">
        <f>D272*E272</f>
        <v>148987.53220002615</v>
      </c>
    </row>
    <row r="273" spans="1:6" s="60" customFormat="1" ht="12.75">
      <c r="A273" s="17"/>
      <c r="B273" s="18"/>
      <c r="C273" s="19"/>
      <c r="D273" s="298"/>
      <c r="E273" s="301"/>
      <c r="F273" s="295"/>
    </row>
    <row r="274" spans="1:6" s="60" customFormat="1" ht="30.75" customHeight="1">
      <c r="A274" s="17">
        <v>6.5</v>
      </c>
      <c r="B274" s="18" t="s">
        <v>115</v>
      </c>
      <c r="C274" s="19" t="s">
        <v>1565</v>
      </c>
      <c r="D274" s="298">
        <v>552</v>
      </c>
      <c r="E274" s="301">
        <f>'Cost break dow.'!V347</f>
        <v>135.07482520401282</v>
      </c>
      <c r="F274" s="295">
        <f>D274*E274</f>
        <v>74561.30351261508</v>
      </c>
    </row>
    <row r="275" spans="1:6" s="60" customFormat="1" ht="12.75">
      <c r="A275" s="17"/>
      <c r="B275" s="18"/>
      <c r="C275" s="19"/>
      <c r="D275" s="298"/>
      <c r="E275" s="301"/>
      <c r="F275" s="295"/>
    </row>
    <row r="276" spans="1:6" s="60" customFormat="1" ht="31.5" customHeight="1">
      <c r="A276" s="17">
        <v>6.6</v>
      </c>
      <c r="B276" s="18" t="s">
        <v>248</v>
      </c>
      <c r="C276" s="19" t="s">
        <v>1565</v>
      </c>
      <c r="D276" s="298">
        <v>95</v>
      </c>
      <c r="E276" s="301">
        <f>E274</f>
        <v>135.07482520401282</v>
      </c>
      <c r="F276" s="295">
        <f>D276*E276</f>
        <v>12832.10839438122</v>
      </c>
    </row>
    <row r="277" ht="12.75">
      <c r="A277" s="17"/>
    </row>
    <row r="278" spans="1:6" s="60" customFormat="1" ht="30" customHeight="1">
      <c r="A278" s="17">
        <v>6.7</v>
      </c>
      <c r="B278" s="18" t="s">
        <v>159</v>
      </c>
      <c r="C278" s="19" t="s">
        <v>1565</v>
      </c>
      <c r="D278" s="298">
        <v>594</v>
      </c>
      <c r="E278" s="301">
        <f>E274</f>
        <v>135.07482520401282</v>
      </c>
      <c r="F278" s="295">
        <f>D278*E278</f>
        <v>80234.44617118362</v>
      </c>
    </row>
    <row r="279" ht="12.75">
      <c r="A279" s="17"/>
    </row>
    <row r="280" spans="1:6" s="60" customFormat="1" ht="51">
      <c r="A280" s="17">
        <v>6.8</v>
      </c>
      <c r="B280" s="18" t="s">
        <v>1047</v>
      </c>
      <c r="C280" s="19" t="s">
        <v>1565</v>
      </c>
      <c r="D280" s="298">
        <v>95</v>
      </c>
      <c r="E280" s="301">
        <f>'Cost break dow.'!V424</f>
        <v>332.95711980088737</v>
      </c>
      <c r="F280" s="295">
        <f>D280*E280</f>
        <v>31630.9263810843</v>
      </c>
    </row>
    <row r="281" spans="1:6" s="60" customFormat="1" ht="12.75">
      <c r="A281" s="17"/>
      <c r="B281" s="18"/>
      <c r="C281" s="19"/>
      <c r="D281" s="298"/>
      <c r="E281" s="301"/>
      <c r="F281" s="295"/>
    </row>
    <row r="282" spans="1:6" s="60" customFormat="1" ht="63" customHeight="1">
      <c r="A282" s="17">
        <v>6.9</v>
      </c>
      <c r="B282" s="54" t="s">
        <v>1048</v>
      </c>
      <c r="C282" s="19" t="s">
        <v>1565</v>
      </c>
      <c r="D282" s="298">
        <v>368</v>
      </c>
      <c r="E282" s="301">
        <f>'Cost break dow.'!V430</f>
        <v>623.2458494508992</v>
      </c>
      <c r="F282" s="298">
        <f>D282*E282</f>
        <v>229354.4725979309</v>
      </c>
    </row>
    <row r="283" spans="1:6" s="60" customFormat="1" ht="14.25" customHeight="1">
      <c r="A283" s="17"/>
      <c r="B283" s="18"/>
      <c r="C283" s="19"/>
      <c r="D283" s="298"/>
      <c r="E283" s="301"/>
      <c r="F283" s="295"/>
    </row>
    <row r="284" spans="1:6" s="60" customFormat="1" ht="25.5" customHeight="1">
      <c r="A284" s="17">
        <v>6.9</v>
      </c>
      <c r="B284" s="18" t="s">
        <v>160</v>
      </c>
      <c r="C284" s="19" t="s">
        <v>1565</v>
      </c>
      <c r="D284" s="298">
        <v>368</v>
      </c>
      <c r="E284" s="301">
        <f>E286</f>
        <v>96.6907062942449</v>
      </c>
      <c r="F284" s="295">
        <f>D284*E284</f>
        <v>35582.179916282126</v>
      </c>
    </row>
    <row r="285" spans="1:6" s="60" customFormat="1" ht="12.75" customHeight="1">
      <c r="A285" s="17"/>
      <c r="B285" s="18"/>
      <c r="C285" s="19"/>
      <c r="D285" s="298"/>
      <c r="E285" s="301"/>
      <c r="F285" s="295"/>
    </row>
    <row r="286" spans="1:6" s="60" customFormat="1" ht="32.25" customHeight="1">
      <c r="A286" s="187">
        <v>6.1</v>
      </c>
      <c r="B286" s="18" t="s">
        <v>161</v>
      </c>
      <c r="C286" s="19" t="s">
        <v>1565</v>
      </c>
      <c r="D286" s="298">
        <v>368</v>
      </c>
      <c r="E286" s="301">
        <f>'Cost break dow.'!V362</f>
        <v>96.6907062942449</v>
      </c>
      <c r="F286" s="295">
        <f>D286*E286</f>
        <v>35582.179916282126</v>
      </c>
    </row>
    <row r="287" spans="1:6" s="60" customFormat="1" ht="13.5" customHeight="1">
      <c r="A287" s="17"/>
      <c r="B287" s="54"/>
      <c r="C287" s="19"/>
      <c r="D287" s="298"/>
      <c r="E287" s="301"/>
      <c r="F287" s="295"/>
    </row>
    <row r="288" spans="1:6" s="60" customFormat="1" ht="51.75" customHeight="1">
      <c r="A288" s="17">
        <v>6.11</v>
      </c>
      <c r="B288" s="18" t="s">
        <v>2019</v>
      </c>
      <c r="C288" s="19" t="s">
        <v>1565</v>
      </c>
      <c r="D288" s="298">
        <v>30</v>
      </c>
      <c r="E288" s="301">
        <f>'Cost break dow.'!V424</f>
        <v>332.95711980088737</v>
      </c>
      <c r="F288" s="295">
        <f>D288*E288</f>
        <v>9988.713594026622</v>
      </c>
    </row>
    <row r="289" spans="1:6" s="60" customFormat="1" ht="12.75" customHeight="1">
      <c r="A289" s="17"/>
      <c r="B289" s="54"/>
      <c r="C289" s="19"/>
      <c r="D289" s="298"/>
      <c r="E289" s="301"/>
      <c r="F289" s="295"/>
    </row>
    <row r="290" spans="1:6" s="60" customFormat="1" ht="46.5" customHeight="1">
      <c r="A290" s="187">
        <v>6.12</v>
      </c>
      <c r="B290" s="18" t="s">
        <v>3146</v>
      </c>
      <c r="C290" s="19" t="s">
        <v>1565</v>
      </c>
      <c r="D290" s="298">
        <v>71</v>
      </c>
      <c r="E290" s="301">
        <f>'Cost break dow.'!V436</f>
        <v>490.2028561664415</v>
      </c>
      <c r="F290" s="295">
        <f>D290*E290</f>
        <v>34804.402787817344</v>
      </c>
    </row>
    <row r="291" spans="1:6" s="60" customFormat="1" ht="12.75">
      <c r="A291" s="17"/>
      <c r="B291" s="18"/>
      <c r="C291" s="19"/>
      <c r="D291" s="298"/>
      <c r="E291" s="301"/>
      <c r="F291" s="295"/>
    </row>
    <row r="292" spans="1:6" s="60" customFormat="1" ht="70.5" customHeight="1">
      <c r="A292" s="17">
        <v>6.13</v>
      </c>
      <c r="B292" s="18" t="s">
        <v>1051</v>
      </c>
      <c r="C292" s="19" t="s">
        <v>1565</v>
      </c>
      <c r="D292" s="298">
        <v>523</v>
      </c>
      <c r="E292" s="301">
        <f>'Cost break dow.'!V436</f>
        <v>490.2028561664415</v>
      </c>
      <c r="F292" s="295">
        <f>D292*E292</f>
        <v>256376.0937750489</v>
      </c>
    </row>
    <row r="293" spans="1:6" s="60" customFormat="1" ht="12" customHeight="1">
      <c r="A293" s="17"/>
      <c r="B293" s="18"/>
      <c r="C293" s="19"/>
      <c r="D293" s="298"/>
      <c r="E293" s="301"/>
      <c r="F293" s="295"/>
    </row>
    <row r="294" spans="1:6" s="60" customFormat="1" ht="26.25" customHeight="1">
      <c r="A294" s="187">
        <v>6.14</v>
      </c>
      <c r="B294" s="57" t="s">
        <v>1053</v>
      </c>
      <c r="C294" s="19" t="s">
        <v>92</v>
      </c>
      <c r="D294" s="298">
        <v>80</v>
      </c>
      <c r="E294" s="301">
        <f>0.29*'Cost break dow.'!V395</f>
        <v>414.20229453098506</v>
      </c>
      <c r="F294" s="295">
        <f>D294*E294</f>
        <v>33136.18356247881</v>
      </c>
    </row>
    <row r="295" spans="1:6" s="60" customFormat="1" ht="12" customHeight="1">
      <c r="A295" s="17"/>
      <c r="B295" s="56"/>
      <c r="C295" s="19"/>
      <c r="D295" s="298"/>
      <c r="E295" s="301"/>
      <c r="F295" s="295"/>
    </row>
    <row r="296" spans="1:6" s="60" customFormat="1" ht="12" customHeight="1">
      <c r="A296" s="17">
        <v>6.15</v>
      </c>
      <c r="B296" s="57" t="s">
        <v>1054</v>
      </c>
      <c r="C296" s="19" t="s">
        <v>92</v>
      </c>
      <c r="D296" s="298">
        <v>80</v>
      </c>
      <c r="E296" s="301">
        <f>0.17*'Cost break dow.'!V390</f>
        <v>202.77081957901393</v>
      </c>
      <c r="F296" s="295">
        <f>D296*E296</f>
        <v>16221.665566321115</v>
      </c>
    </row>
    <row r="297" spans="1:6" s="60" customFormat="1" ht="10.5" customHeight="1">
      <c r="A297" s="17"/>
      <c r="B297" s="56"/>
      <c r="C297" s="19"/>
      <c r="D297" s="298"/>
      <c r="E297" s="301"/>
      <c r="F297" s="295"/>
    </row>
    <row r="298" spans="1:6" s="60" customFormat="1" ht="52.5" customHeight="1">
      <c r="A298" s="187">
        <v>6.16</v>
      </c>
      <c r="B298" s="18" t="s">
        <v>1440</v>
      </c>
      <c r="C298" s="19" t="s">
        <v>1565</v>
      </c>
      <c r="D298" s="298">
        <v>20</v>
      </c>
      <c r="E298" s="301">
        <f>'Cost break dow.'!V390</f>
        <v>1192.769526935376</v>
      </c>
      <c r="F298" s="295">
        <f>D298*E298</f>
        <v>23855.39053870752</v>
      </c>
    </row>
    <row r="299" spans="1:6" s="60" customFormat="1" ht="12" customHeight="1">
      <c r="A299" s="17"/>
      <c r="B299" s="18"/>
      <c r="C299" s="19"/>
      <c r="D299" s="298"/>
      <c r="E299" s="301"/>
      <c r="F299" s="295"/>
    </row>
    <row r="300" spans="1:6" s="60" customFormat="1" ht="27.75" customHeight="1">
      <c r="A300" s="17">
        <v>6.17</v>
      </c>
      <c r="B300" s="18" t="s">
        <v>2946</v>
      </c>
      <c r="C300" s="19" t="s">
        <v>92</v>
      </c>
      <c r="D300" s="298">
        <v>113</v>
      </c>
      <c r="E300" s="301">
        <f>'Cost break dow.'!V449</f>
        <v>33.895064573824904</v>
      </c>
      <c r="F300" s="295">
        <f>D300*E300</f>
        <v>3830.142296842214</v>
      </c>
    </row>
    <row r="301" spans="1:6" s="60" customFormat="1" ht="12.75">
      <c r="A301" s="17"/>
      <c r="B301" s="18"/>
      <c r="C301" s="19"/>
      <c r="D301" s="298"/>
      <c r="E301" s="301"/>
      <c r="F301" s="295"/>
    </row>
    <row r="302" spans="1:6" s="43" customFormat="1" ht="25.5">
      <c r="A302" s="187">
        <v>6.18</v>
      </c>
      <c r="B302" s="18" t="s">
        <v>2947</v>
      </c>
      <c r="C302" s="19" t="s">
        <v>92</v>
      </c>
      <c r="D302" s="301">
        <v>192</v>
      </c>
      <c r="E302" s="315">
        <f>0.3*'Cost break dow.'!V395</f>
        <v>428.48513227343284</v>
      </c>
      <c r="F302" s="295">
        <f>D302*E302</f>
        <v>82269.14539649911</v>
      </c>
    </row>
    <row r="303" spans="1:6" s="43" customFormat="1" ht="12.75">
      <c r="A303" s="17"/>
      <c r="B303" s="18"/>
      <c r="C303" s="19"/>
      <c r="D303" s="301"/>
      <c r="E303" s="315"/>
      <c r="F303" s="295"/>
    </row>
    <row r="304" spans="1:6" s="60" customFormat="1" ht="38.25" customHeight="1">
      <c r="A304" s="17">
        <v>6.19</v>
      </c>
      <c r="B304" s="84" t="s">
        <v>3021</v>
      </c>
      <c r="C304" s="2" t="s">
        <v>1565</v>
      </c>
      <c r="D304" s="310">
        <v>30</v>
      </c>
      <c r="E304" s="316">
        <f>'Cost break dow.'!V288</f>
        <v>1139.7335407864464</v>
      </c>
      <c r="F304" s="314">
        <f>D304*E304</f>
        <v>34192.006223593395</v>
      </c>
    </row>
    <row r="305" spans="1:6" ht="12.75">
      <c r="A305" s="17"/>
      <c r="B305" s="61"/>
      <c r="C305" s="19"/>
      <c r="D305" s="298"/>
      <c r="E305" s="298"/>
      <c r="F305" s="295"/>
    </row>
    <row r="306" spans="1:6" s="43" customFormat="1" ht="25.5">
      <c r="A306" s="187">
        <v>6.2</v>
      </c>
      <c r="B306" s="18" t="s">
        <v>3148</v>
      </c>
      <c r="C306" s="19" t="s">
        <v>92</v>
      </c>
      <c r="D306" s="301">
        <v>25</v>
      </c>
      <c r="E306" s="315">
        <f>'Cost break dow.'!V456</f>
        <v>206.5998502891973</v>
      </c>
      <c r="F306" s="295">
        <f>D306*E306</f>
        <v>5164.996257229932</v>
      </c>
    </row>
    <row r="307" spans="1:6" s="43" customFormat="1" ht="12.75">
      <c r="A307" s="17"/>
      <c r="B307" s="18"/>
      <c r="C307" s="19"/>
      <c r="D307" s="301"/>
      <c r="E307" s="315"/>
      <c r="F307" s="295"/>
    </row>
    <row r="308" spans="1:6" s="60" customFormat="1" ht="13.5" thickBot="1">
      <c r="A308" s="17"/>
      <c r="B308" s="51" t="s">
        <v>1066</v>
      </c>
      <c r="C308" s="19"/>
      <c r="D308" s="298"/>
      <c r="E308" s="301"/>
      <c r="F308" s="462">
        <f>F306++F304+F302+F300+F298+F296+F294+F292+F290+F288+F286+F284+F280+F278+F276+F274+F272+F270+F268+F266</f>
        <v>1065525.5660564452</v>
      </c>
    </row>
    <row r="309" spans="1:6" s="60" customFormat="1" ht="13.5" thickTop="1">
      <c r="A309" s="17"/>
      <c r="B309" s="18"/>
      <c r="C309" s="19"/>
      <c r="D309" s="298"/>
      <c r="E309" s="301"/>
      <c r="F309" s="300"/>
    </row>
    <row r="310" spans="1:6" s="43" customFormat="1" ht="12.75">
      <c r="A310" s="167">
        <v>7</v>
      </c>
      <c r="B310" s="13" t="s">
        <v>1067</v>
      </c>
      <c r="C310" s="19"/>
      <c r="D310" s="298"/>
      <c r="E310" s="301"/>
      <c r="F310" s="300"/>
    </row>
    <row r="311" spans="1:6" s="43" customFormat="1" ht="12.75">
      <c r="A311" s="17"/>
      <c r="B311" s="18"/>
      <c r="C311" s="19"/>
      <c r="D311" s="298"/>
      <c r="E311" s="298"/>
      <c r="F311" s="300"/>
    </row>
    <row r="312" spans="1:6" s="43" customFormat="1" ht="25.5">
      <c r="A312" s="17">
        <v>7.1</v>
      </c>
      <c r="B312" s="18" t="s">
        <v>2769</v>
      </c>
      <c r="C312" s="19" t="s">
        <v>1565</v>
      </c>
      <c r="D312" s="298">
        <v>255</v>
      </c>
      <c r="E312" s="301">
        <f>'Cost break dow.'!V485</f>
        <v>206.49471622555038</v>
      </c>
      <c r="F312" s="295">
        <f>D312*E312</f>
        <v>52656.15263751535</v>
      </c>
    </row>
    <row r="313" spans="1:6" s="43" customFormat="1" ht="12.75">
      <c r="A313" s="17"/>
      <c r="B313" s="18"/>
      <c r="C313" s="19"/>
      <c r="D313" s="298"/>
      <c r="E313" s="301"/>
      <c r="F313" s="295"/>
    </row>
    <row r="314" spans="1:6" s="43" customFormat="1" ht="14.25">
      <c r="A314" s="17">
        <v>7.2</v>
      </c>
      <c r="B314" s="18" t="s">
        <v>2770</v>
      </c>
      <c r="C314" s="19" t="s">
        <v>1565</v>
      </c>
      <c r="D314" s="298">
        <v>262</v>
      </c>
      <c r="E314" s="301">
        <f>'Cost break dow.'!V490</f>
        <v>277.7532133431297</v>
      </c>
      <c r="F314" s="295">
        <f>D314*E314</f>
        <v>72771.34189589998</v>
      </c>
    </row>
    <row r="315" spans="1:6" s="43" customFormat="1" ht="12.75">
      <c r="A315" s="17"/>
      <c r="B315" s="18"/>
      <c r="C315" s="19"/>
      <c r="D315" s="298"/>
      <c r="E315" s="301"/>
      <c r="F315" s="295"/>
    </row>
    <row r="316" spans="1:6" s="43" customFormat="1" ht="10.5" customHeight="1">
      <c r="A316" s="17"/>
      <c r="B316" s="18"/>
      <c r="C316" s="19"/>
      <c r="D316" s="298"/>
      <c r="E316" s="301"/>
      <c r="F316" s="300"/>
    </row>
    <row r="317" spans="1:6" s="43" customFormat="1" ht="13.5" thickBot="1">
      <c r="A317" s="17"/>
      <c r="B317" s="51" t="s">
        <v>1066</v>
      </c>
      <c r="C317" s="19"/>
      <c r="D317" s="298"/>
      <c r="E317" s="301"/>
      <c r="F317" s="462">
        <f>F312+F314</f>
        <v>125427.49453341533</v>
      </c>
    </row>
    <row r="318" spans="1:6" s="43" customFormat="1" ht="12" customHeight="1" thickTop="1">
      <c r="A318" s="17"/>
      <c r="B318" s="18"/>
      <c r="C318" s="19"/>
      <c r="D318" s="298"/>
      <c r="E318" s="301"/>
      <c r="F318" s="300"/>
    </row>
    <row r="319" spans="1:6" s="43" customFormat="1" ht="12.75">
      <c r="A319" s="167">
        <v>8</v>
      </c>
      <c r="B319" s="13" t="s">
        <v>2771</v>
      </c>
      <c r="C319" s="19"/>
      <c r="D319" s="298"/>
      <c r="E319" s="301"/>
      <c r="F319" s="300"/>
    </row>
    <row r="320" spans="1:6" s="43" customFormat="1" ht="10.5" customHeight="1">
      <c r="A320" s="17"/>
      <c r="B320" s="18"/>
      <c r="C320" s="19"/>
      <c r="D320" s="298"/>
      <c r="E320" s="301"/>
      <c r="F320" s="300"/>
    </row>
    <row r="321" spans="1:6" s="60" customFormat="1" ht="25.5">
      <c r="A321" s="17">
        <v>8.1</v>
      </c>
      <c r="B321" s="18" t="s">
        <v>31</v>
      </c>
      <c r="C321" s="19" t="s">
        <v>1565</v>
      </c>
      <c r="D321" s="298">
        <v>663</v>
      </c>
      <c r="E321" s="301">
        <f>'Cost break dow.'!V495</f>
        <v>49.73559579465977</v>
      </c>
      <c r="F321" s="295">
        <f>D321*E321</f>
        <v>32974.70001185943</v>
      </c>
    </row>
    <row r="322" spans="1:6" s="60" customFormat="1" ht="12.75">
      <c r="A322" s="17"/>
      <c r="B322" s="18"/>
      <c r="C322" s="19"/>
      <c r="D322" s="298"/>
      <c r="E322" s="301"/>
      <c r="F322" s="295"/>
    </row>
    <row r="323" spans="1:6" s="60" customFormat="1" ht="14.25">
      <c r="A323" s="17">
        <v>8.2</v>
      </c>
      <c r="B323" s="18" t="s">
        <v>244</v>
      </c>
      <c r="C323" s="19" t="s">
        <v>1565</v>
      </c>
      <c r="D323" s="298">
        <v>552</v>
      </c>
      <c r="E323" s="301">
        <f>E321</f>
        <v>49.73559579465977</v>
      </c>
      <c r="F323" s="295">
        <f>D323*E323</f>
        <v>27454.048878652193</v>
      </c>
    </row>
    <row r="324" spans="1:6" s="60" customFormat="1" ht="12.75">
      <c r="A324" s="17"/>
      <c r="B324" s="18"/>
      <c r="C324" s="19"/>
      <c r="D324" s="298"/>
      <c r="E324" s="301"/>
      <c r="F324" s="295"/>
    </row>
    <row r="325" spans="1:6" s="60" customFormat="1" ht="14.25">
      <c r="A325" s="17">
        <v>8.3</v>
      </c>
      <c r="B325" s="18" t="s">
        <v>246</v>
      </c>
      <c r="C325" s="19" t="s">
        <v>1565</v>
      </c>
      <c r="D325" s="298">
        <v>69</v>
      </c>
      <c r="E325" s="301">
        <f>E321</f>
        <v>49.73559579465977</v>
      </c>
      <c r="F325" s="295">
        <f>D325*E325</f>
        <v>3431.756109831524</v>
      </c>
    </row>
    <row r="326" spans="1:6" s="60" customFormat="1" ht="12.75">
      <c r="A326" s="17"/>
      <c r="B326" s="18"/>
      <c r="C326" s="19"/>
      <c r="D326" s="298"/>
      <c r="E326" s="301"/>
      <c r="F326" s="295"/>
    </row>
    <row r="327" spans="1:6" s="43" customFormat="1" ht="14.25">
      <c r="A327" s="17">
        <v>8.4</v>
      </c>
      <c r="B327" s="18" t="s">
        <v>247</v>
      </c>
      <c r="C327" s="19" t="s">
        <v>1565</v>
      </c>
      <c r="D327" s="298">
        <v>140</v>
      </c>
      <c r="E327" s="301">
        <f>E321</f>
        <v>49.73559579465977</v>
      </c>
      <c r="F327" s="295">
        <f>D327*E327</f>
        <v>6962.983411252369</v>
      </c>
    </row>
    <row r="328" spans="1:6" s="43" customFormat="1" ht="12.75">
      <c r="A328" s="17"/>
      <c r="B328" s="18"/>
      <c r="C328" s="19"/>
      <c r="D328" s="298"/>
      <c r="E328" s="301"/>
      <c r="F328" s="295"/>
    </row>
    <row r="329" spans="1:6" s="60" customFormat="1" ht="14.25">
      <c r="A329" s="17">
        <v>8.5</v>
      </c>
      <c r="B329" s="84" t="s">
        <v>3022</v>
      </c>
      <c r="C329" s="19" t="s">
        <v>1565</v>
      </c>
      <c r="D329" s="298">
        <v>30</v>
      </c>
      <c r="E329" s="301">
        <f>E321</f>
        <v>49.73559579465977</v>
      </c>
      <c r="F329" s="295">
        <f>D329*E329</f>
        <v>1492.0678738397933</v>
      </c>
    </row>
    <row r="330" spans="1:6" s="60" customFormat="1" ht="12.75">
      <c r="A330" s="17"/>
      <c r="B330" s="84"/>
      <c r="C330" s="19"/>
      <c r="D330" s="298"/>
      <c r="E330" s="301"/>
      <c r="F330" s="295"/>
    </row>
    <row r="331" spans="1:6" s="43" customFormat="1" ht="13.5" thickBot="1">
      <c r="A331" s="17"/>
      <c r="B331" s="51" t="s">
        <v>1066</v>
      </c>
      <c r="C331" s="19"/>
      <c r="D331" s="298"/>
      <c r="E331" s="301"/>
      <c r="F331" s="462">
        <f>F321+F323+F325+F327+F329</f>
        <v>72315.55628543532</v>
      </c>
    </row>
    <row r="332" spans="1:6" s="43" customFormat="1" ht="13.5" thickTop="1">
      <c r="A332" s="55"/>
      <c r="B332" s="51"/>
      <c r="C332" s="19"/>
      <c r="D332" s="298"/>
      <c r="E332" s="301"/>
      <c r="F332" s="300"/>
    </row>
    <row r="333" spans="1:6" s="43" customFormat="1" ht="12.75">
      <c r="A333" s="55"/>
      <c r="B333" s="51"/>
      <c r="C333" s="19"/>
      <c r="D333" s="298"/>
      <c r="E333" s="301"/>
      <c r="F333" s="300"/>
    </row>
    <row r="334" spans="1:6" s="64" customFormat="1" ht="15" customHeight="1">
      <c r="A334" s="80"/>
      <c r="B334" s="63"/>
      <c r="C334" s="19"/>
      <c r="D334" s="298"/>
      <c r="E334" s="317"/>
      <c r="F334" s="317"/>
    </row>
    <row r="335" spans="1:6" ht="12.75">
      <c r="A335" s="258">
        <v>9</v>
      </c>
      <c r="B335" s="62" t="s">
        <v>32</v>
      </c>
      <c r="C335" s="19"/>
      <c r="D335" s="301"/>
      <c r="E335" s="301"/>
      <c r="F335" s="300"/>
    </row>
    <row r="336" spans="1:6" ht="12.75">
      <c r="A336" s="199"/>
      <c r="B336" s="28" t="s">
        <v>33</v>
      </c>
      <c r="C336" s="19"/>
      <c r="D336" s="301"/>
      <c r="E336" s="301"/>
      <c r="F336" s="300"/>
    </row>
    <row r="337" spans="1:6" ht="12.75">
      <c r="A337" s="199"/>
      <c r="B337" s="27"/>
      <c r="C337" s="19"/>
      <c r="D337" s="301"/>
      <c r="E337" s="301"/>
      <c r="F337" s="300"/>
    </row>
    <row r="338" spans="1:6" ht="12.75">
      <c r="A338" s="199"/>
      <c r="B338" s="28" t="s">
        <v>2327</v>
      </c>
      <c r="C338" s="19"/>
      <c r="D338" s="301"/>
      <c r="E338" s="301"/>
      <c r="F338" s="300"/>
    </row>
    <row r="339" spans="2:6" ht="12.75">
      <c r="B339" s="27"/>
      <c r="C339" s="19"/>
      <c r="D339" s="301"/>
      <c r="E339" s="301"/>
      <c r="F339" s="300"/>
    </row>
    <row r="340" spans="1:6" ht="25.5">
      <c r="A340" s="199" t="s">
        <v>2200</v>
      </c>
      <c r="B340" s="27" t="s">
        <v>191</v>
      </c>
      <c r="C340" s="19"/>
      <c r="D340" s="301"/>
      <c r="E340" s="301"/>
      <c r="F340" s="300"/>
    </row>
    <row r="341" spans="1:6" ht="25.5">
      <c r="A341" s="199"/>
      <c r="B341" s="27" t="s">
        <v>2134</v>
      </c>
      <c r="C341" s="19"/>
      <c r="D341" s="301"/>
      <c r="E341" s="301"/>
      <c r="F341" s="300"/>
    </row>
    <row r="342" spans="1:6" ht="12.75">
      <c r="A342" s="199"/>
      <c r="B342" s="27" t="s">
        <v>2135</v>
      </c>
      <c r="C342" s="19"/>
      <c r="D342" s="301"/>
      <c r="E342" s="301"/>
      <c r="F342" s="300"/>
    </row>
    <row r="343" spans="1:6" ht="12.75">
      <c r="A343" s="199"/>
      <c r="B343" s="27"/>
      <c r="C343" s="19"/>
      <c r="D343" s="301"/>
      <c r="E343" s="301"/>
      <c r="F343" s="300"/>
    </row>
    <row r="344" spans="1:6" ht="12.75">
      <c r="A344" s="199"/>
      <c r="B344" s="27" t="s">
        <v>192</v>
      </c>
      <c r="C344" s="19"/>
      <c r="D344" s="301"/>
      <c r="E344" s="301"/>
      <c r="F344" s="300"/>
    </row>
    <row r="345" spans="1:6" ht="12.75">
      <c r="A345" s="199"/>
      <c r="B345" s="27" t="s">
        <v>193</v>
      </c>
      <c r="C345" s="19"/>
      <c r="D345" s="301"/>
      <c r="E345" s="301"/>
      <c r="F345" s="300"/>
    </row>
    <row r="346" spans="1:6" ht="12.75">
      <c r="A346" s="199"/>
      <c r="B346" s="27" t="s">
        <v>194</v>
      </c>
      <c r="C346" s="19"/>
      <c r="D346" s="301"/>
      <c r="E346" s="301"/>
      <c r="F346" s="300"/>
    </row>
    <row r="347" spans="1:6" ht="12.75">
      <c r="A347" s="199"/>
      <c r="B347" s="27" t="s">
        <v>2296</v>
      </c>
      <c r="C347" s="19"/>
      <c r="D347" s="301"/>
      <c r="E347" s="301"/>
      <c r="F347" s="300"/>
    </row>
    <row r="348" spans="1:6" ht="12.75">
      <c r="A348" s="199"/>
      <c r="B348" s="27" t="s">
        <v>46</v>
      </c>
      <c r="C348" s="19"/>
      <c r="D348" s="301"/>
      <c r="E348" s="301"/>
      <c r="F348" s="300"/>
    </row>
    <row r="349" spans="1:6" ht="12.75">
      <c r="A349" s="199"/>
      <c r="B349" s="27" t="s">
        <v>47</v>
      </c>
      <c r="C349" s="19"/>
      <c r="D349" s="301"/>
      <c r="E349" s="301"/>
      <c r="F349" s="300"/>
    </row>
    <row r="350" spans="1:6" ht="25.5">
      <c r="A350" s="199"/>
      <c r="B350" s="27" t="s">
        <v>2534</v>
      </c>
      <c r="C350" s="19"/>
      <c r="D350" s="301"/>
      <c r="E350" s="301"/>
      <c r="F350" s="300"/>
    </row>
    <row r="351" spans="1:6" ht="25.5">
      <c r="A351" s="199"/>
      <c r="B351" s="27" t="s">
        <v>2535</v>
      </c>
      <c r="C351" s="19"/>
      <c r="D351" s="301"/>
      <c r="E351" s="301"/>
      <c r="F351" s="300"/>
    </row>
    <row r="352" spans="1:6" ht="12.75">
      <c r="A352" s="199"/>
      <c r="B352" s="27"/>
      <c r="C352" s="19"/>
      <c r="D352" s="301"/>
      <c r="E352" s="301"/>
      <c r="F352" s="300"/>
    </row>
    <row r="353" spans="1:6" ht="25.5">
      <c r="A353" s="199"/>
      <c r="B353" s="27" t="s">
        <v>48</v>
      </c>
      <c r="C353" s="19"/>
      <c r="D353" s="301"/>
      <c r="E353" s="301"/>
      <c r="F353" s="300"/>
    </row>
    <row r="354" spans="1:6" ht="12.75">
      <c r="A354" s="199"/>
      <c r="B354" s="27" t="s">
        <v>2537</v>
      </c>
      <c r="C354" s="19" t="s">
        <v>1561</v>
      </c>
      <c r="D354" s="301">
        <v>1</v>
      </c>
      <c r="E354" s="301">
        <v>15400</v>
      </c>
      <c r="F354" s="300">
        <f>D354*E354</f>
        <v>15400</v>
      </c>
    </row>
    <row r="355" spans="1:6" ht="12.75">
      <c r="A355" s="199"/>
      <c r="B355" s="27"/>
      <c r="C355" s="19"/>
      <c r="D355" s="301"/>
      <c r="E355" s="301"/>
      <c r="F355" s="300"/>
    </row>
    <row r="356" spans="1:6" ht="25.5">
      <c r="A356" s="199" t="s">
        <v>2201</v>
      </c>
      <c r="B356" s="27" t="s">
        <v>49</v>
      </c>
      <c r="C356" s="19"/>
      <c r="D356" s="301"/>
      <c r="E356" s="301"/>
      <c r="F356" s="300"/>
    </row>
    <row r="357" spans="1:6" ht="25.5">
      <c r="A357" s="199"/>
      <c r="B357" s="27" t="s">
        <v>2628</v>
      </c>
      <c r="C357" s="19"/>
      <c r="D357" s="301"/>
      <c r="E357" s="301"/>
      <c r="F357" s="300"/>
    </row>
    <row r="358" spans="1:6" ht="12.75">
      <c r="A358" s="199"/>
      <c r="B358" s="27" t="s">
        <v>2540</v>
      </c>
      <c r="C358" s="19"/>
      <c r="D358" s="301"/>
      <c r="E358" s="301"/>
      <c r="F358" s="300"/>
    </row>
    <row r="359" spans="1:6" ht="12.75">
      <c r="A359" s="199"/>
      <c r="B359" s="27"/>
      <c r="C359" s="19"/>
      <c r="D359" s="301"/>
      <c r="E359" s="301"/>
      <c r="F359" s="300"/>
    </row>
    <row r="360" spans="1:6" ht="12.75">
      <c r="A360" s="199"/>
      <c r="B360" s="27" t="s">
        <v>2622</v>
      </c>
      <c r="C360" s="19"/>
      <c r="D360" s="301"/>
      <c r="E360" s="301"/>
      <c r="F360" s="300"/>
    </row>
    <row r="361" spans="1:6" ht="12.75">
      <c r="A361" s="199"/>
      <c r="B361" s="27" t="s">
        <v>50</v>
      </c>
      <c r="C361" s="19"/>
      <c r="D361" s="301"/>
      <c r="E361" s="301"/>
      <c r="F361" s="300"/>
    </row>
    <row r="362" spans="1:6" ht="12.75">
      <c r="A362" s="199"/>
      <c r="B362" s="27" t="s">
        <v>2623</v>
      </c>
      <c r="C362" s="19"/>
      <c r="D362" s="301"/>
      <c r="E362" s="301"/>
      <c r="F362" s="300"/>
    </row>
    <row r="363" spans="1:6" ht="12.75">
      <c r="A363" s="199"/>
      <c r="B363" s="27" t="s">
        <v>51</v>
      </c>
      <c r="C363" s="19"/>
      <c r="D363" s="301"/>
      <c r="E363" s="301"/>
      <c r="F363" s="300"/>
    </row>
    <row r="364" spans="1:6" ht="12.75">
      <c r="A364" s="199"/>
      <c r="B364" s="27"/>
      <c r="C364" s="19"/>
      <c r="D364" s="301"/>
      <c r="E364" s="301"/>
      <c r="F364" s="300"/>
    </row>
    <row r="365" spans="1:6" ht="12.75">
      <c r="A365" s="199"/>
      <c r="B365" s="27" t="s">
        <v>2544</v>
      </c>
      <c r="C365" s="19"/>
      <c r="D365" s="301"/>
      <c r="E365" s="301"/>
      <c r="F365" s="300"/>
    </row>
    <row r="366" spans="1:6" ht="12.75">
      <c r="A366" s="199"/>
      <c r="B366" s="27" t="s">
        <v>2537</v>
      </c>
      <c r="C366" s="19" t="s">
        <v>1561</v>
      </c>
      <c r="D366" s="301">
        <v>1</v>
      </c>
      <c r="E366" s="301">
        <v>4200</v>
      </c>
      <c r="F366" s="300">
        <f>D366*E366</f>
        <v>4200</v>
      </c>
    </row>
    <row r="367" spans="2:6" ht="12.75">
      <c r="B367" s="27"/>
      <c r="C367" s="19"/>
      <c r="D367" s="301"/>
      <c r="E367" s="301"/>
      <c r="F367" s="300"/>
    </row>
    <row r="368" spans="1:6" ht="51">
      <c r="A368" s="199" t="s">
        <v>2202</v>
      </c>
      <c r="B368" s="27" t="s">
        <v>2746</v>
      </c>
      <c r="C368" s="19" t="s">
        <v>1561</v>
      </c>
      <c r="D368" s="301">
        <v>1</v>
      </c>
      <c r="E368" s="301">
        <v>1800</v>
      </c>
      <c r="F368" s="300">
        <f>D368*E368</f>
        <v>1800</v>
      </c>
    </row>
    <row r="369" spans="1:6" ht="12.75">
      <c r="A369" s="199"/>
      <c r="B369" s="27"/>
      <c r="C369" s="19"/>
      <c r="D369" s="301"/>
      <c r="E369" s="301"/>
      <c r="F369" s="300"/>
    </row>
    <row r="370" spans="1:6" ht="51">
      <c r="A370" s="199" t="s">
        <v>2203</v>
      </c>
      <c r="B370" s="27" t="s">
        <v>2016</v>
      </c>
      <c r="C370" s="19"/>
      <c r="D370" s="301"/>
      <c r="E370" s="301"/>
      <c r="F370" s="300"/>
    </row>
    <row r="371" spans="1:6" ht="12.75">
      <c r="A371" s="199"/>
      <c r="B371" s="27"/>
      <c r="C371" s="19"/>
      <c r="D371" s="301"/>
      <c r="E371" s="301"/>
      <c r="F371" s="300"/>
    </row>
    <row r="372" spans="2:6" ht="12.75">
      <c r="B372" s="27" t="s">
        <v>52</v>
      </c>
      <c r="C372" s="19"/>
      <c r="D372" s="301"/>
      <c r="E372" s="301"/>
      <c r="F372" s="300"/>
    </row>
    <row r="373" spans="1:6" ht="12.75">
      <c r="A373" s="199"/>
      <c r="B373" s="27" t="s">
        <v>53</v>
      </c>
      <c r="C373" s="19"/>
      <c r="D373" s="301"/>
      <c r="E373" s="301"/>
      <c r="F373" s="300"/>
    </row>
    <row r="374" spans="1:6" ht="12.75">
      <c r="A374" s="199"/>
      <c r="B374" s="27" t="s">
        <v>2111</v>
      </c>
      <c r="C374" s="19"/>
      <c r="D374" s="301"/>
      <c r="E374" s="301"/>
      <c r="F374" s="300"/>
    </row>
    <row r="375" spans="1:6" ht="12.75">
      <c r="A375" s="199"/>
      <c r="B375" s="27"/>
      <c r="C375" s="19"/>
      <c r="D375" s="301"/>
      <c r="E375" s="301"/>
      <c r="F375" s="300"/>
    </row>
    <row r="376" spans="1:6" ht="25.5">
      <c r="A376" s="199"/>
      <c r="B376" s="27" t="s">
        <v>2017</v>
      </c>
      <c r="C376" s="19" t="s">
        <v>1561</v>
      </c>
      <c r="D376" s="301">
        <v>1</v>
      </c>
      <c r="E376" s="301">
        <v>6535</v>
      </c>
      <c r="F376" s="300">
        <f>D376*E376</f>
        <v>6535</v>
      </c>
    </row>
    <row r="377" spans="1:6" ht="12.75">
      <c r="A377" s="199"/>
      <c r="B377" s="27"/>
      <c r="C377" s="4"/>
      <c r="D377" s="306"/>
      <c r="E377" s="301"/>
      <c r="F377" s="300"/>
    </row>
    <row r="378" spans="1:6" ht="12.75">
      <c r="A378" s="199" t="s">
        <v>2204</v>
      </c>
      <c r="B378" s="27" t="s">
        <v>2113</v>
      </c>
      <c r="C378" s="19"/>
      <c r="D378" s="301"/>
      <c r="E378" s="301"/>
      <c r="F378" s="300"/>
    </row>
    <row r="379" spans="1:6" ht="12.75">
      <c r="A379" s="199"/>
      <c r="B379" s="27"/>
      <c r="C379" s="19"/>
      <c r="D379" s="301"/>
      <c r="E379" s="301"/>
      <c r="F379" s="300"/>
    </row>
    <row r="380" spans="1:6" ht="12.75">
      <c r="A380" s="199"/>
      <c r="B380" s="27" t="s">
        <v>2622</v>
      </c>
      <c r="C380" s="19"/>
      <c r="D380" s="301"/>
      <c r="E380" s="301"/>
      <c r="F380" s="300"/>
    </row>
    <row r="381" spans="1:6" ht="12.75">
      <c r="A381" s="199"/>
      <c r="B381" s="27" t="s">
        <v>2114</v>
      </c>
      <c r="C381" s="19"/>
      <c r="D381" s="301"/>
      <c r="E381" s="301"/>
      <c r="F381" s="300"/>
    </row>
    <row r="382" spans="1:6" ht="12.75">
      <c r="A382" s="199"/>
      <c r="B382" s="27" t="s">
        <v>2111</v>
      </c>
      <c r="C382" s="19"/>
      <c r="D382" s="301"/>
      <c r="E382" s="301"/>
      <c r="F382" s="300"/>
    </row>
    <row r="383" spans="1:6" ht="12.75">
      <c r="A383" s="199"/>
      <c r="B383" s="27"/>
      <c r="C383" s="19"/>
      <c r="D383" s="301"/>
      <c r="E383" s="301"/>
      <c r="F383" s="300"/>
    </row>
    <row r="384" spans="1:6" ht="25.5">
      <c r="A384" s="199"/>
      <c r="B384" s="27" t="s">
        <v>2018</v>
      </c>
      <c r="C384" s="19" t="s">
        <v>1561</v>
      </c>
      <c r="D384" s="301">
        <v>1</v>
      </c>
      <c r="E384" s="301">
        <v>3500</v>
      </c>
      <c r="F384" s="300">
        <f>D384*E384</f>
        <v>3500</v>
      </c>
    </row>
    <row r="385" spans="1:6" ht="12.75">
      <c r="A385" s="199"/>
      <c r="B385" s="27"/>
      <c r="C385" s="4"/>
      <c r="D385" s="306"/>
      <c r="E385" s="301"/>
      <c r="F385" s="300"/>
    </row>
    <row r="386" spans="1:6" ht="12.75">
      <c r="A386" s="199"/>
      <c r="B386" s="28" t="s">
        <v>2205</v>
      </c>
      <c r="C386" s="19"/>
      <c r="D386" s="301"/>
      <c r="E386" s="301"/>
      <c r="F386" s="300"/>
    </row>
    <row r="387" spans="1:6" ht="12.75">
      <c r="A387" s="199"/>
      <c r="B387" s="27"/>
      <c r="C387" s="19"/>
      <c r="D387" s="301"/>
      <c r="E387" s="301"/>
      <c r="F387" s="300"/>
    </row>
    <row r="388" spans="1:6" ht="25.5">
      <c r="A388" s="199" t="s">
        <v>2206</v>
      </c>
      <c r="B388" s="27" t="s">
        <v>1524</v>
      </c>
      <c r="C388" s="19"/>
      <c r="D388" s="301"/>
      <c r="E388" s="301"/>
      <c r="F388" s="300"/>
    </row>
    <row r="389" spans="1:6" ht="14.25">
      <c r="A389" s="199"/>
      <c r="B389" s="27" t="s">
        <v>1525</v>
      </c>
      <c r="C389" s="19" t="s">
        <v>1561</v>
      </c>
      <c r="D389" s="301">
        <v>198</v>
      </c>
      <c r="E389" s="301">
        <f>'Residential Block'!E546</f>
        <v>238.74125688437496</v>
      </c>
      <c r="F389" s="300">
        <f>D389*E389</f>
        <v>47270.76886310624</v>
      </c>
    </row>
    <row r="390" spans="1:6" ht="12.75">
      <c r="A390" s="199"/>
      <c r="B390" s="27"/>
      <c r="C390" s="19"/>
      <c r="D390" s="301"/>
      <c r="E390" s="301"/>
      <c r="F390" s="300"/>
    </row>
    <row r="391" spans="1:6" ht="12.75" customHeight="1">
      <c r="A391" s="199"/>
      <c r="B391" s="28" t="s">
        <v>1884</v>
      </c>
      <c r="C391" s="19"/>
      <c r="D391" s="301"/>
      <c r="E391" s="301"/>
      <c r="F391" s="300"/>
    </row>
    <row r="392" spans="1:6" ht="12.75">
      <c r="A392" s="199"/>
      <c r="B392" s="27"/>
      <c r="C392" s="19"/>
      <c r="D392" s="301"/>
      <c r="E392" s="301"/>
      <c r="F392" s="300"/>
    </row>
    <row r="393" spans="1:6" ht="12.75">
      <c r="A393" s="199" t="s">
        <v>1679</v>
      </c>
      <c r="B393" s="27" t="s">
        <v>1526</v>
      </c>
      <c r="C393" s="19"/>
      <c r="D393" s="301"/>
      <c r="E393" s="301"/>
      <c r="F393" s="300"/>
    </row>
    <row r="394" spans="1:6" ht="25.5">
      <c r="A394" s="199"/>
      <c r="B394" s="27" t="s">
        <v>3100</v>
      </c>
      <c r="C394" s="19"/>
      <c r="D394" s="301"/>
      <c r="E394" s="301"/>
      <c r="F394" s="300"/>
    </row>
    <row r="395" spans="1:6" ht="12.75">
      <c r="A395" s="199" t="s">
        <v>1680</v>
      </c>
      <c r="B395" s="27" t="s">
        <v>3101</v>
      </c>
      <c r="C395" s="19" t="s">
        <v>1561</v>
      </c>
      <c r="D395" s="301">
        <v>29</v>
      </c>
      <c r="E395" s="301">
        <f>'Residential Block'!E552</f>
        <v>0</v>
      </c>
      <c r="F395" s="300">
        <f>D395*E395</f>
        <v>0</v>
      </c>
    </row>
    <row r="396" spans="1:6" ht="12.75">
      <c r="A396" s="199"/>
      <c r="B396" s="27"/>
      <c r="C396" s="19"/>
      <c r="D396" s="301"/>
      <c r="E396" s="301"/>
      <c r="F396" s="300"/>
    </row>
    <row r="397" spans="1:6" ht="12.75">
      <c r="A397" s="199" t="s">
        <v>1681</v>
      </c>
      <c r="B397" s="27" t="s">
        <v>2553</v>
      </c>
      <c r="C397" s="19" t="s">
        <v>1561</v>
      </c>
      <c r="D397" s="301">
        <v>22</v>
      </c>
      <c r="E397" s="301">
        <f>'Residential Block'!E554</f>
        <v>0</v>
      </c>
      <c r="F397" s="300">
        <f>D397*E397</f>
        <v>0</v>
      </c>
    </row>
    <row r="398" spans="1:6" ht="12.75">
      <c r="A398" s="199"/>
      <c r="B398" s="27"/>
      <c r="C398" s="19"/>
      <c r="D398" s="301"/>
      <c r="E398" s="301"/>
      <c r="F398" s="300"/>
    </row>
    <row r="399" spans="1:6" ht="12.75">
      <c r="A399" s="199"/>
      <c r="B399" s="27" t="s">
        <v>2554</v>
      </c>
      <c r="C399" s="19" t="s">
        <v>1561</v>
      </c>
      <c r="D399" s="301">
        <v>2</v>
      </c>
      <c r="E399" s="301">
        <v>80</v>
      </c>
      <c r="F399" s="300">
        <f>D399*E399</f>
        <v>160</v>
      </c>
    </row>
    <row r="400" spans="1:6" ht="12.75">
      <c r="A400" s="199"/>
      <c r="B400" s="27"/>
      <c r="C400" s="19"/>
      <c r="D400" s="301"/>
      <c r="E400" s="301"/>
      <c r="F400" s="300"/>
    </row>
    <row r="401" spans="2:6" ht="25.5">
      <c r="B401" s="28" t="s">
        <v>1890</v>
      </c>
      <c r="C401" s="19"/>
      <c r="D401" s="301"/>
      <c r="E401" s="301"/>
      <c r="F401" s="300"/>
    </row>
    <row r="402" spans="1:6" ht="9.75" customHeight="1">
      <c r="A402" s="199"/>
      <c r="B402" s="27"/>
      <c r="C402" s="19"/>
      <c r="D402" s="301"/>
      <c r="E402" s="301"/>
      <c r="F402" s="300"/>
    </row>
    <row r="403" spans="1:6" ht="25.5">
      <c r="A403" s="199" t="s">
        <v>1891</v>
      </c>
      <c r="B403" s="27" t="s">
        <v>2115</v>
      </c>
      <c r="C403" s="19"/>
      <c r="D403" s="301"/>
      <c r="E403" s="301"/>
      <c r="F403" s="300"/>
    </row>
    <row r="404" spans="1:6" ht="25.5">
      <c r="A404" s="199"/>
      <c r="B404" s="27" t="s">
        <v>2116</v>
      </c>
      <c r="C404" s="19"/>
      <c r="D404" s="301"/>
      <c r="E404" s="301"/>
      <c r="F404" s="300"/>
    </row>
    <row r="405" spans="1:6" ht="28.5">
      <c r="A405" s="199"/>
      <c r="B405" s="27" t="s">
        <v>2117</v>
      </c>
      <c r="C405" s="19" t="s">
        <v>1561</v>
      </c>
      <c r="D405" s="301">
        <v>25</v>
      </c>
      <c r="E405" s="301">
        <f>'Commercial Block'!E823</f>
        <v>153.121377959375</v>
      </c>
      <c r="F405" s="300">
        <f>D405*E405</f>
        <v>3828.034448984375</v>
      </c>
    </row>
    <row r="406" spans="1:6" ht="12.75">
      <c r="A406" s="199"/>
      <c r="B406" s="27"/>
      <c r="C406" s="19"/>
      <c r="D406" s="301"/>
      <c r="E406" s="301"/>
      <c r="F406" s="300"/>
    </row>
    <row r="407" spans="1:6" ht="15" customHeight="1">
      <c r="A407" s="199" t="s">
        <v>1892</v>
      </c>
      <c r="B407" s="27" t="s">
        <v>3106</v>
      </c>
      <c r="C407" s="19"/>
      <c r="D407" s="301"/>
      <c r="E407" s="301"/>
      <c r="F407" s="300"/>
    </row>
    <row r="408" spans="1:6" ht="25.5">
      <c r="A408" s="199"/>
      <c r="B408" s="27" t="s">
        <v>1424</v>
      </c>
      <c r="C408" s="19"/>
      <c r="D408" s="301"/>
      <c r="E408" s="301"/>
      <c r="F408" s="300"/>
    </row>
    <row r="409" spans="1:6" ht="15.75">
      <c r="A409" s="199"/>
      <c r="B409" s="27" t="s">
        <v>1425</v>
      </c>
      <c r="C409" s="19" t="s">
        <v>1561</v>
      </c>
      <c r="D409" s="301">
        <v>90</v>
      </c>
      <c r="E409" s="301">
        <f>E405</f>
        <v>153.121377959375</v>
      </c>
      <c r="F409" s="300">
        <f>D409*E409</f>
        <v>13780.92401634375</v>
      </c>
    </row>
    <row r="410" spans="1:6" ht="12.75">
      <c r="A410" s="199"/>
      <c r="B410" s="27"/>
      <c r="C410" s="19"/>
      <c r="D410" s="301"/>
      <c r="E410" s="301"/>
      <c r="F410" s="300"/>
    </row>
    <row r="411" spans="1:6" ht="25.5">
      <c r="A411" s="199" t="s">
        <v>1893</v>
      </c>
      <c r="B411" s="27" t="s">
        <v>1426</v>
      </c>
      <c r="C411" s="19"/>
      <c r="D411" s="301"/>
      <c r="E411" s="301"/>
      <c r="F411" s="300"/>
    </row>
    <row r="412" spans="1:6" ht="25.5">
      <c r="A412" s="199"/>
      <c r="B412" s="27" t="s">
        <v>1427</v>
      </c>
      <c r="C412" s="19"/>
      <c r="D412" s="301"/>
      <c r="E412" s="301"/>
      <c r="F412" s="300"/>
    </row>
    <row r="413" spans="1:6" ht="28.5">
      <c r="A413" s="199"/>
      <c r="B413" s="27" t="s">
        <v>2157</v>
      </c>
      <c r="C413" s="19" t="s">
        <v>1561</v>
      </c>
      <c r="D413" s="301">
        <v>20</v>
      </c>
      <c r="E413" s="301">
        <v>200</v>
      </c>
      <c r="F413" s="300">
        <f>D413*E413</f>
        <v>4000</v>
      </c>
    </row>
    <row r="414" spans="1:6" ht="12.75">
      <c r="A414" s="199"/>
      <c r="B414" s="27"/>
      <c r="C414" s="19"/>
      <c r="D414" s="301"/>
      <c r="E414" s="301"/>
      <c r="F414" s="300"/>
    </row>
    <row r="415" spans="1:6" ht="25.5">
      <c r="A415" s="199" t="s">
        <v>1894</v>
      </c>
      <c r="B415" s="27" t="s">
        <v>2158</v>
      </c>
      <c r="C415" s="19"/>
      <c r="D415" s="301"/>
      <c r="E415" s="301"/>
      <c r="F415" s="300"/>
    </row>
    <row r="416" spans="1:6" ht="25.5">
      <c r="A416" s="199"/>
      <c r="B416" s="27" t="s">
        <v>1445</v>
      </c>
      <c r="C416" s="19"/>
      <c r="D416" s="301"/>
      <c r="E416" s="301"/>
      <c r="F416" s="300"/>
    </row>
    <row r="417" spans="1:6" ht="12.75">
      <c r="A417" s="199"/>
      <c r="B417" s="27" t="s">
        <v>1446</v>
      </c>
      <c r="C417" s="19" t="s">
        <v>1561</v>
      </c>
      <c r="D417" s="301">
        <v>18</v>
      </c>
      <c r="E417" s="301">
        <v>850</v>
      </c>
      <c r="F417" s="300">
        <f>D417*E417</f>
        <v>15300</v>
      </c>
    </row>
    <row r="418" spans="1:6" ht="12.75">
      <c r="A418" s="199"/>
      <c r="B418" s="27"/>
      <c r="C418" s="19"/>
      <c r="D418" s="301"/>
      <c r="E418" s="301"/>
      <c r="F418" s="300"/>
    </row>
    <row r="419" spans="1:6" ht="25.5">
      <c r="A419" s="199" t="s">
        <v>1690</v>
      </c>
      <c r="B419" s="27" t="s">
        <v>2118</v>
      </c>
      <c r="C419" s="19"/>
      <c r="D419" s="301"/>
      <c r="E419" s="301"/>
      <c r="F419" s="300"/>
    </row>
    <row r="420" spans="1:6" ht="25.5">
      <c r="A420" s="199"/>
      <c r="B420" s="27" t="s">
        <v>1445</v>
      </c>
      <c r="C420" s="19"/>
      <c r="D420" s="301"/>
      <c r="E420" s="301"/>
      <c r="F420" s="300"/>
    </row>
    <row r="421" spans="1:6" ht="25.5">
      <c r="A421" s="199"/>
      <c r="B421" s="27" t="s">
        <v>2119</v>
      </c>
      <c r="C421" s="19" t="s">
        <v>1561</v>
      </c>
      <c r="D421" s="301">
        <v>1</v>
      </c>
      <c r="E421" s="301">
        <v>1350</v>
      </c>
      <c r="F421" s="300">
        <f>D421*E421</f>
        <v>1350</v>
      </c>
    </row>
    <row r="422" spans="1:6" ht="12.75">
      <c r="A422" s="199"/>
      <c r="B422" s="27"/>
      <c r="C422" s="19"/>
      <c r="D422" s="301"/>
      <c r="E422" s="301"/>
      <c r="F422" s="300"/>
    </row>
    <row r="423" spans="1:6" ht="12.75">
      <c r="A423" s="199"/>
      <c r="B423" s="28" t="s">
        <v>2207</v>
      </c>
      <c r="C423" s="19"/>
      <c r="D423" s="301"/>
      <c r="E423" s="301"/>
      <c r="F423" s="300"/>
    </row>
    <row r="424" spans="1:6" ht="12.75">
      <c r="A424" s="199"/>
      <c r="B424" s="27"/>
      <c r="C424" s="19"/>
      <c r="D424" s="301"/>
      <c r="E424" s="301"/>
      <c r="F424" s="300"/>
    </row>
    <row r="425" spans="1:6" ht="25.5">
      <c r="A425" s="199" t="s">
        <v>882</v>
      </c>
      <c r="B425" s="27" t="s">
        <v>2120</v>
      </c>
      <c r="C425" s="19"/>
      <c r="D425" s="301"/>
      <c r="E425" s="301"/>
      <c r="F425" s="300"/>
    </row>
    <row r="426" spans="1:6" ht="12.75">
      <c r="A426" s="199"/>
      <c r="B426" s="27" t="s">
        <v>2121</v>
      </c>
      <c r="C426" s="19" t="s">
        <v>1561</v>
      </c>
      <c r="D426" s="301">
        <v>20</v>
      </c>
      <c r="E426" s="301">
        <v>245</v>
      </c>
      <c r="F426" s="300">
        <f>D426*E426</f>
        <v>4900</v>
      </c>
    </row>
    <row r="427" spans="1:6" ht="12.75">
      <c r="A427" s="199"/>
      <c r="B427" s="27"/>
      <c r="C427" s="19"/>
      <c r="D427" s="301"/>
      <c r="E427" s="301"/>
      <c r="F427" s="300"/>
    </row>
    <row r="428" spans="1:6" ht="25.5">
      <c r="A428" s="199" t="s">
        <v>774</v>
      </c>
      <c r="B428" s="27" t="s">
        <v>2122</v>
      </c>
      <c r="C428" s="19"/>
      <c r="D428" s="301"/>
      <c r="E428" s="301"/>
      <c r="F428" s="300"/>
    </row>
    <row r="429" spans="1:6" ht="25.5">
      <c r="A429" s="199"/>
      <c r="B429" s="27" t="s">
        <v>2684</v>
      </c>
      <c r="C429" s="19" t="s">
        <v>1561</v>
      </c>
      <c r="D429" s="301">
        <v>19</v>
      </c>
      <c r="E429" s="301">
        <v>850</v>
      </c>
      <c r="F429" s="300">
        <f>D429*E429</f>
        <v>16150</v>
      </c>
    </row>
    <row r="430" spans="2:6" ht="12.75">
      <c r="B430" s="27"/>
      <c r="C430" s="19"/>
      <c r="D430" s="301"/>
      <c r="E430" s="301"/>
      <c r="F430" s="300"/>
    </row>
    <row r="431" spans="1:6" ht="51">
      <c r="A431" s="199" t="s">
        <v>775</v>
      </c>
      <c r="B431" s="27" t="s">
        <v>3016</v>
      </c>
      <c r="C431" s="19"/>
      <c r="D431" s="301"/>
      <c r="E431" s="301"/>
      <c r="F431" s="300"/>
    </row>
    <row r="432" spans="1:6" ht="25.5">
      <c r="A432" s="199"/>
      <c r="B432" s="27" t="s">
        <v>3017</v>
      </c>
      <c r="C432" s="19" t="s">
        <v>2557</v>
      </c>
      <c r="D432" s="301">
        <v>4000</v>
      </c>
      <c r="E432" s="301">
        <v>25</v>
      </c>
      <c r="F432" s="300">
        <f>D432*E432</f>
        <v>100000</v>
      </c>
    </row>
    <row r="433" spans="1:6" ht="12.75">
      <c r="A433" s="199"/>
      <c r="B433" s="27"/>
      <c r="C433" s="4"/>
      <c r="D433" s="306"/>
      <c r="E433" s="301"/>
      <c r="F433" s="300"/>
    </row>
    <row r="434" spans="1:6" ht="25.5">
      <c r="A434" s="199" t="s">
        <v>776</v>
      </c>
      <c r="B434" s="27" t="s">
        <v>2123</v>
      </c>
      <c r="C434" s="19"/>
      <c r="D434" s="301"/>
      <c r="E434" s="301"/>
      <c r="F434" s="300"/>
    </row>
    <row r="435" spans="1:6" ht="25.5">
      <c r="A435" s="199"/>
      <c r="B435" s="27" t="s">
        <v>2124</v>
      </c>
      <c r="C435" s="19"/>
      <c r="D435" s="301"/>
      <c r="E435" s="301"/>
      <c r="F435" s="300"/>
    </row>
    <row r="436" spans="1:6" ht="25.5">
      <c r="A436" s="199"/>
      <c r="B436" s="27" t="s">
        <v>2125</v>
      </c>
      <c r="C436" s="19"/>
      <c r="D436" s="301"/>
      <c r="E436" s="301"/>
      <c r="F436" s="300"/>
    </row>
    <row r="437" spans="2:6" ht="25.5">
      <c r="B437" s="27" t="s">
        <v>12</v>
      </c>
      <c r="C437" s="19"/>
      <c r="D437" s="301"/>
      <c r="E437" s="301"/>
      <c r="F437" s="300"/>
    </row>
    <row r="438" spans="2:6" ht="25.5">
      <c r="B438" s="27" t="s">
        <v>13</v>
      </c>
      <c r="C438" s="19" t="s">
        <v>1561</v>
      </c>
      <c r="D438" s="301">
        <v>1</v>
      </c>
      <c r="E438" s="301">
        <v>5600</v>
      </c>
      <c r="F438" s="300">
        <f>D438*E438</f>
        <v>5600</v>
      </c>
    </row>
    <row r="439" spans="2:6" ht="12.75">
      <c r="B439" s="27"/>
      <c r="C439" s="19"/>
      <c r="D439" s="301"/>
      <c r="E439" s="301"/>
      <c r="F439" s="300"/>
    </row>
    <row r="440" spans="1:6" ht="25.5">
      <c r="A440" s="87" t="s">
        <v>2208</v>
      </c>
      <c r="B440" s="27" t="s">
        <v>14</v>
      </c>
      <c r="C440" s="19"/>
      <c r="D440" s="301"/>
      <c r="E440" s="301"/>
      <c r="F440" s="300"/>
    </row>
    <row r="441" spans="2:6" ht="25.5">
      <c r="B441" s="27" t="s">
        <v>15</v>
      </c>
      <c r="C441" s="19"/>
      <c r="D441" s="301"/>
      <c r="E441" s="301"/>
      <c r="F441" s="300"/>
    </row>
    <row r="442" spans="2:6" ht="25.5">
      <c r="B442" s="27" t="s">
        <v>2125</v>
      </c>
      <c r="C442" s="19"/>
      <c r="D442" s="301"/>
      <c r="E442" s="301"/>
      <c r="F442" s="300"/>
    </row>
    <row r="443" spans="2:6" ht="25.5">
      <c r="B443" s="27" t="s">
        <v>12</v>
      </c>
      <c r="C443" s="19"/>
      <c r="D443" s="301"/>
      <c r="E443" s="301"/>
      <c r="F443" s="300"/>
    </row>
    <row r="444" spans="2:6" ht="25.5">
      <c r="B444" s="27" t="s">
        <v>13</v>
      </c>
      <c r="C444" s="19" t="s">
        <v>1561</v>
      </c>
      <c r="D444" s="301">
        <v>1</v>
      </c>
      <c r="E444" s="301">
        <v>5600</v>
      </c>
      <c r="F444" s="300">
        <f>D444*E444</f>
        <v>5600</v>
      </c>
    </row>
    <row r="445" spans="2:6" ht="12.75">
      <c r="B445" s="27"/>
      <c r="C445" s="19"/>
      <c r="D445" s="301"/>
      <c r="E445" s="301"/>
      <c r="F445" s="300"/>
    </row>
    <row r="446" spans="1:6" ht="25.5">
      <c r="A446" s="199" t="s">
        <v>2209</v>
      </c>
      <c r="B446" s="27" t="s">
        <v>16</v>
      </c>
      <c r="C446" s="19"/>
      <c r="D446" s="301"/>
      <c r="E446" s="301"/>
      <c r="F446" s="300"/>
    </row>
    <row r="447" spans="1:6" ht="15.75" customHeight="1">
      <c r="A447" s="199"/>
      <c r="B447" s="27" t="s">
        <v>17</v>
      </c>
      <c r="C447" s="19"/>
      <c r="D447" s="301"/>
      <c r="E447" s="301"/>
      <c r="F447" s="300"/>
    </row>
    <row r="448" spans="1:6" ht="25.5">
      <c r="A448" s="199"/>
      <c r="B448" s="27" t="s">
        <v>2125</v>
      </c>
      <c r="C448" s="19"/>
      <c r="D448" s="301"/>
      <c r="E448" s="301"/>
      <c r="F448" s="300"/>
    </row>
    <row r="449" spans="1:6" ht="25.5">
      <c r="A449" s="199"/>
      <c r="B449" s="27" t="s">
        <v>12</v>
      </c>
      <c r="C449" s="19"/>
      <c r="D449" s="301"/>
      <c r="E449" s="301"/>
      <c r="F449" s="300"/>
    </row>
    <row r="450" spans="1:6" ht="25.5">
      <c r="A450" s="199"/>
      <c r="B450" s="27" t="s">
        <v>13</v>
      </c>
      <c r="C450" s="19" t="s">
        <v>1561</v>
      </c>
      <c r="D450" s="301">
        <v>1</v>
      </c>
      <c r="E450" s="301">
        <v>5600</v>
      </c>
      <c r="F450" s="300">
        <f>D450*E450</f>
        <v>5600</v>
      </c>
    </row>
    <row r="451" spans="1:6" ht="12.75">
      <c r="A451" s="199"/>
      <c r="B451" s="27"/>
      <c r="C451" s="19"/>
      <c r="D451" s="301"/>
      <c r="E451" s="301"/>
      <c r="F451" s="300"/>
    </row>
    <row r="452" spans="1:6" ht="25.5">
      <c r="A452" s="199" t="s">
        <v>2210</v>
      </c>
      <c r="B452" s="27" t="s">
        <v>18</v>
      </c>
      <c r="C452" s="19"/>
      <c r="D452" s="301"/>
      <c r="E452" s="301"/>
      <c r="F452" s="300"/>
    </row>
    <row r="453" spans="1:6" ht="25.5">
      <c r="A453" s="199"/>
      <c r="B453" s="27" t="s">
        <v>19</v>
      </c>
      <c r="C453" s="19"/>
      <c r="D453" s="301"/>
      <c r="E453" s="301"/>
      <c r="F453" s="300"/>
    </row>
    <row r="454" spans="1:6" ht="25.5">
      <c r="A454" s="199"/>
      <c r="B454" s="27" t="s">
        <v>2125</v>
      </c>
      <c r="C454" s="19"/>
      <c r="D454" s="301"/>
      <c r="E454" s="301"/>
      <c r="F454" s="300"/>
    </row>
    <row r="455" spans="1:6" ht="25.5">
      <c r="A455" s="199"/>
      <c r="B455" s="27" t="s">
        <v>12</v>
      </c>
      <c r="C455" s="19"/>
      <c r="D455" s="301"/>
      <c r="E455" s="301"/>
      <c r="F455" s="300"/>
    </row>
    <row r="456" spans="1:6" ht="25.5">
      <c r="A456" s="199"/>
      <c r="B456" s="27" t="s">
        <v>13</v>
      </c>
      <c r="C456" s="19" t="s">
        <v>1561</v>
      </c>
      <c r="D456" s="301">
        <v>1</v>
      </c>
      <c r="E456" s="301">
        <v>5600</v>
      </c>
      <c r="F456" s="300">
        <f>D456*E456</f>
        <v>5600</v>
      </c>
    </row>
    <row r="457" spans="1:6" ht="12.75">
      <c r="A457" s="199"/>
      <c r="B457" s="27"/>
      <c r="C457" s="19"/>
      <c r="D457" s="301"/>
      <c r="E457" s="301"/>
      <c r="F457" s="300"/>
    </row>
    <row r="458" spans="1:6" ht="12.75">
      <c r="A458" s="199"/>
      <c r="B458" s="28" t="s">
        <v>1907</v>
      </c>
      <c r="C458" s="19"/>
      <c r="D458" s="301"/>
      <c r="E458" s="301"/>
      <c r="F458" s="300"/>
    </row>
    <row r="459" spans="1:6" ht="12.75">
      <c r="A459" s="199"/>
      <c r="B459" s="27"/>
      <c r="C459" s="19"/>
      <c r="D459" s="301"/>
      <c r="E459" s="301"/>
      <c r="F459" s="300"/>
    </row>
    <row r="460" spans="1:6" ht="38.25">
      <c r="A460" s="199"/>
      <c r="B460" s="27" t="s">
        <v>2683</v>
      </c>
      <c r="C460" s="19"/>
      <c r="D460" s="301"/>
      <c r="E460" s="301"/>
      <c r="F460" s="300"/>
    </row>
    <row r="461" spans="1:6" ht="12.75">
      <c r="A461" s="199"/>
      <c r="B461" s="27"/>
      <c r="C461" s="19"/>
      <c r="D461" s="301"/>
      <c r="E461" s="301"/>
      <c r="F461" s="300"/>
    </row>
    <row r="462" spans="1:6" ht="25.5">
      <c r="A462" s="199"/>
      <c r="B462" s="27" t="s">
        <v>2572</v>
      </c>
      <c r="C462" s="19"/>
      <c r="D462" s="301"/>
      <c r="F462" s="300"/>
    </row>
    <row r="463" spans="1:6" ht="12.75">
      <c r="A463" s="199"/>
      <c r="B463" s="27" t="s">
        <v>2573</v>
      </c>
      <c r="C463" s="19" t="s">
        <v>1561</v>
      </c>
      <c r="D463" s="301">
        <v>86</v>
      </c>
      <c r="E463" s="301">
        <v>850</v>
      </c>
      <c r="F463" s="300">
        <f>D463*E463</f>
        <v>73100</v>
      </c>
    </row>
    <row r="464" spans="1:6" ht="14.25" customHeight="1">
      <c r="A464" s="199"/>
      <c r="B464" s="27"/>
      <c r="C464" s="19"/>
      <c r="D464" s="301"/>
      <c r="E464" s="301"/>
      <c r="F464" s="300"/>
    </row>
    <row r="465" spans="1:6" ht="25.5">
      <c r="A465" s="199"/>
      <c r="B465" s="27" t="s">
        <v>2574</v>
      </c>
      <c r="C465" s="19"/>
      <c r="D465" s="301"/>
      <c r="E465" s="301"/>
      <c r="F465" s="300"/>
    </row>
    <row r="466" spans="1:6" ht="12.75">
      <c r="A466" s="199"/>
      <c r="B466" s="27" t="s">
        <v>2575</v>
      </c>
      <c r="C466" s="19" t="s">
        <v>1561</v>
      </c>
      <c r="D466" s="301">
        <v>15</v>
      </c>
      <c r="E466" s="301">
        <v>850</v>
      </c>
      <c r="F466" s="300">
        <f>D466*E466</f>
        <v>12750</v>
      </c>
    </row>
    <row r="467" spans="1:6" ht="12.75">
      <c r="A467" s="199"/>
      <c r="B467" s="27"/>
      <c r="C467" s="19"/>
      <c r="D467" s="301"/>
      <c r="E467" s="301"/>
      <c r="F467" s="300"/>
    </row>
    <row r="468" spans="1:6" ht="25.5">
      <c r="A468" s="199"/>
      <c r="B468" s="27" t="s">
        <v>2576</v>
      </c>
      <c r="C468" s="19"/>
      <c r="D468" s="301"/>
      <c r="E468" s="301"/>
      <c r="F468" s="300"/>
    </row>
    <row r="469" spans="1:6" ht="12.75">
      <c r="A469" s="199"/>
      <c r="B469" s="27" t="s">
        <v>2577</v>
      </c>
      <c r="C469" s="19" t="s">
        <v>1561</v>
      </c>
      <c r="D469" s="301">
        <v>1</v>
      </c>
      <c r="E469" s="301">
        <v>850</v>
      </c>
      <c r="F469" s="300">
        <f>D469*E469</f>
        <v>850</v>
      </c>
    </row>
    <row r="470" spans="1:6" ht="12.75">
      <c r="A470" s="199"/>
      <c r="B470" s="27"/>
      <c r="C470" s="19"/>
      <c r="D470" s="301"/>
      <c r="E470" s="301"/>
      <c r="F470" s="300"/>
    </row>
    <row r="471" spans="1:6" ht="25.5">
      <c r="A471" s="199"/>
      <c r="B471" s="27" t="s">
        <v>2578</v>
      </c>
      <c r="C471" s="19"/>
      <c r="D471" s="301"/>
      <c r="E471" s="301"/>
      <c r="F471" s="300"/>
    </row>
    <row r="472" spans="1:6" ht="12.75">
      <c r="A472" s="199"/>
      <c r="B472" s="27" t="s">
        <v>2579</v>
      </c>
      <c r="C472" s="19" t="s">
        <v>1561</v>
      </c>
      <c r="D472" s="301">
        <v>45</v>
      </c>
      <c r="E472" s="301"/>
      <c r="F472" s="300"/>
    </row>
    <row r="473" spans="1:6" ht="12.75">
      <c r="A473" s="199"/>
      <c r="B473" s="27"/>
      <c r="C473" s="19"/>
      <c r="D473" s="301"/>
      <c r="E473" s="301"/>
      <c r="F473" s="300"/>
    </row>
    <row r="474" spans="1:6" ht="12.75">
      <c r="A474" s="199"/>
      <c r="B474" s="27" t="s">
        <v>2580</v>
      </c>
      <c r="C474" s="19"/>
      <c r="D474" s="301"/>
      <c r="E474" s="301"/>
      <c r="F474" s="300"/>
    </row>
    <row r="475" spans="1:6" ht="12.75">
      <c r="A475" s="199"/>
      <c r="B475" s="27" t="s">
        <v>2579</v>
      </c>
      <c r="C475" s="19" t="s">
        <v>1561</v>
      </c>
      <c r="D475" s="301">
        <v>2</v>
      </c>
      <c r="E475" s="301">
        <f>'Residential Block'!E601</f>
        <v>280</v>
      </c>
      <c r="F475" s="300">
        <f>D475*E475</f>
        <v>560</v>
      </c>
    </row>
    <row r="476" spans="1:6" ht="12.75">
      <c r="A476" s="199"/>
      <c r="B476" s="27"/>
      <c r="C476" s="19"/>
      <c r="D476" s="301"/>
      <c r="E476" s="301"/>
      <c r="F476" s="300"/>
    </row>
    <row r="477" spans="1:6" ht="25.5">
      <c r="A477" s="199"/>
      <c r="B477" s="27" t="s">
        <v>2022</v>
      </c>
      <c r="C477" s="19" t="s">
        <v>1561</v>
      </c>
      <c r="D477" s="301">
        <v>17</v>
      </c>
      <c r="E477" s="301">
        <v>450</v>
      </c>
      <c r="F477" s="300">
        <f>D477*E477</f>
        <v>7650</v>
      </c>
    </row>
    <row r="478" spans="1:6" ht="12.75">
      <c r="A478" s="199"/>
      <c r="B478" s="27"/>
      <c r="C478" s="19"/>
      <c r="D478" s="301"/>
      <c r="E478" s="301"/>
      <c r="F478" s="300"/>
    </row>
    <row r="479" spans="1:6" ht="25.5">
      <c r="A479" s="199"/>
      <c r="B479" s="27" t="s">
        <v>759</v>
      </c>
      <c r="C479" s="19"/>
      <c r="D479" s="301"/>
      <c r="E479" s="301"/>
      <c r="F479" s="300"/>
    </row>
    <row r="480" spans="1:6" ht="12.75">
      <c r="A480" s="199"/>
      <c r="B480" s="27" t="s">
        <v>2573</v>
      </c>
      <c r="C480" s="19" t="s">
        <v>1561</v>
      </c>
      <c r="D480" s="301">
        <v>2</v>
      </c>
      <c r="E480" s="301">
        <v>850</v>
      </c>
      <c r="F480" s="300">
        <f>D480*E480</f>
        <v>1700</v>
      </c>
    </row>
    <row r="481" spans="1:6" ht="12.75">
      <c r="A481" s="199"/>
      <c r="B481" s="27"/>
      <c r="C481" s="19"/>
      <c r="D481" s="301"/>
      <c r="E481" s="301"/>
      <c r="F481" s="300"/>
    </row>
    <row r="482" spans="1:6" ht="25.5">
      <c r="A482" s="199"/>
      <c r="B482" s="27" t="s">
        <v>2159</v>
      </c>
      <c r="C482" s="19" t="s">
        <v>1561</v>
      </c>
      <c r="D482" s="301">
        <v>5</v>
      </c>
      <c r="E482" s="301">
        <v>850</v>
      </c>
      <c r="F482" s="300">
        <f>D482*E482</f>
        <v>4250</v>
      </c>
    </row>
    <row r="483" spans="1:6" ht="12" customHeight="1">
      <c r="A483" s="199"/>
      <c r="B483" s="27"/>
      <c r="F483" s="300"/>
    </row>
    <row r="484" spans="1:6" ht="12" customHeight="1">
      <c r="A484" s="199"/>
      <c r="B484" s="27" t="s">
        <v>2026</v>
      </c>
      <c r="C484" s="19"/>
      <c r="D484" s="301"/>
      <c r="E484" s="301"/>
      <c r="F484" s="300"/>
    </row>
    <row r="485" spans="1:6" ht="12" customHeight="1">
      <c r="A485" s="199"/>
      <c r="B485" s="27" t="s">
        <v>1056</v>
      </c>
      <c r="C485" s="19" t="s">
        <v>1561</v>
      </c>
      <c r="D485" s="301">
        <v>6</v>
      </c>
      <c r="E485" s="301">
        <f>'Commercial Block'!E882</f>
        <v>850</v>
      </c>
      <c r="F485" s="300">
        <f>D485*E485</f>
        <v>5100</v>
      </c>
    </row>
    <row r="486" spans="1:6" ht="12" customHeight="1">
      <c r="A486" s="199"/>
      <c r="B486" s="27"/>
      <c r="C486" s="19"/>
      <c r="D486" s="301"/>
      <c r="E486" s="301"/>
      <c r="F486" s="300"/>
    </row>
    <row r="487" spans="1:6" ht="12" customHeight="1">
      <c r="A487" s="199"/>
      <c r="B487" s="27" t="s">
        <v>2027</v>
      </c>
      <c r="C487" s="19" t="s">
        <v>1561</v>
      </c>
      <c r="D487" s="301">
        <v>19</v>
      </c>
      <c r="E487" s="301">
        <v>450</v>
      </c>
      <c r="F487" s="300">
        <f>D487*E487</f>
        <v>8550</v>
      </c>
    </row>
    <row r="488" spans="1:6" ht="12" customHeight="1">
      <c r="A488" s="199"/>
      <c r="B488" s="27"/>
      <c r="C488" s="19"/>
      <c r="D488" s="301"/>
      <c r="E488" s="301"/>
      <c r="F488" s="300"/>
    </row>
    <row r="489" spans="1:6" ht="12" customHeight="1">
      <c r="A489" s="199"/>
      <c r="B489" s="28" t="s">
        <v>1919</v>
      </c>
      <c r="C489" s="19"/>
      <c r="D489" s="301"/>
      <c r="E489" s="301"/>
      <c r="F489" s="300"/>
    </row>
    <row r="490" spans="1:6" ht="12" customHeight="1">
      <c r="A490" s="199"/>
      <c r="B490" s="27"/>
      <c r="C490" s="19"/>
      <c r="D490" s="301"/>
      <c r="E490" s="301"/>
      <c r="F490" s="300"/>
    </row>
    <row r="491" spans="1:6" ht="12" customHeight="1">
      <c r="A491" s="199" t="s">
        <v>1920</v>
      </c>
      <c r="B491" s="27" t="s">
        <v>2029</v>
      </c>
      <c r="C491" s="19"/>
      <c r="D491" s="301"/>
      <c r="E491" s="301"/>
      <c r="F491" s="300"/>
    </row>
    <row r="492" spans="1:6" ht="12.75">
      <c r="A492" s="199"/>
      <c r="B492" s="27" t="s">
        <v>2030</v>
      </c>
      <c r="C492" s="19"/>
      <c r="D492" s="301"/>
      <c r="E492" s="301"/>
      <c r="F492" s="300"/>
    </row>
    <row r="493" spans="1:6" ht="13.5" customHeight="1">
      <c r="A493" s="199"/>
      <c r="B493" s="27"/>
      <c r="C493" s="19"/>
      <c r="D493" s="301"/>
      <c r="E493" s="301"/>
      <c r="F493" s="300"/>
    </row>
    <row r="494" spans="1:6" ht="14.25">
      <c r="A494" s="199" t="s">
        <v>1921</v>
      </c>
      <c r="B494" s="27" t="s">
        <v>760</v>
      </c>
      <c r="C494" s="19" t="s">
        <v>2557</v>
      </c>
      <c r="D494" s="301">
        <v>10</v>
      </c>
      <c r="E494" s="301">
        <v>75</v>
      </c>
      <c r="F494" s="300">
        <f>D494*E494</f>
        <v>750</v>
      </c>
    </row>
    <row r="495" spans="1:6" ht="12.75">
      <c r="A495" s="199"/>
      <c r="B495" s="27"/>
      <c r="C495" s="19"/>
      <c r="D495" s="301"/>
      <c r="E495" s="301"/>
      <c r="F495" s="300"/>
    </row>
    <row r="496" spans="1:6" ht="14.25">
      <c r="A496" s="199" t="s">
        <v>1922</v>
      </c>
      <c r="B496" s="27" t="s">
        <v>761</v>
      </c>
      <c r="C496" s="19" t="s">
        <v>2557</v>
      </c>
      <c r="D496" s="301">
        <v>15</v>
      </c>
      <c r="E496" s="301">
        <v>90</v>
      </c>
      <c r="F496" s="300">
        <f>D496*E496</f>
        <v>1350</v>
      </c>
    </row>
    <row r="497" spans="1:6" ht="12.75">
      <c r="A497" s="199"/>
      <c r="B497" s="27"/>
      <c r="C497" s="19"/>
      <c r="D497" s="301"/>
      <c r="E497" s="301"/>
      <c r="F497" s="300"/>
    </row>
    <row r="498" spans="1:6" ht="14.25">
      <c r="A498" s="199" t="s">
        <v>1923</v>
      </c>
      <c r="B498" s="27" t="s">
        <v>762</v>
      </c>
      <c r="C498" s="19" t="s">
        <v>2557</v>
      </c>
      <c r="D498" s="301">
        <v>20</v>
      </c>
      <c r="E498" s="301">
        <v>75</v>
      </c>
      <c r="F498" s="300">
        <f>D498*E498</f>
        <v>1500</v>
      </c>
    </row>
    <row r="499" spans="1:6" ht="12.75">
      <c r="A499" s="199"/>
      <c r="B499" s="27"/>
      <c r="C499" s="19"/>
      <c r="D499" s="301"/>
      <c r="E499" s="301"/>
      <c r="F499" s="300"/>
    </row>
    <row r="500" spans="1:6" ht="25.5">
      <c r="A500" s="199"/>
      <c r="B500" s="28" t="s">
        <v>2211</v>
      </c>
      <c r="C500" s="19"/>
      <c r="D500" s="301"/>
      <c r="E500" s="301"/>
      <c r="F500" s="300"/>
    </row>
    <row r="501" spans="1:6" ht="12.75">
      <c r="A501" s="199"/>
      <c r="B501" s="28"/>
      <c r="C501" s="19"/>
      <c r="D501" s="301"/>
      <c r="E501" s="301"/>
      <c r="F501" s="300"/>
    </row>
    <row r="502" spans="1:6" ht="25.5">
      <c r="A502" s="199" t="s">
        <v>182</v>
      </c>
      <c r="B502" s="27" t="s">
        <v>764</v>
      </c>
      <c r="C502" s="19"/>
      <c r="D502" s="301"/>
      <c r="E502" s="301"/>
      <c r="F502" s="300"/>
    </row>
    <row r="503" spans="1:6" ht="12.75">
      <c r="A503" s="199"/>
      <c r="B503" s="27" t="s">
        <v>765</v>
      </c>
      <c r="C503" s="19" t="s">
        <v>2557</v>
      </c>
      <c r="D503" s="301">
        <v>60</v>
      </c>
      <c r="E503" s="301">
        <v>50</v>
      </c>
      <c r="F503" s="300">
        <f>D503*E503</f>
        <v>3000</v>
      </c>
    </row>
    <row r="504" spans="1:6" ht="12.75">
      <c r="A504" s="199"/>
      <c r="B504" s="27"/>
      <c r="C504" s="19"/>
      <c r="D504" s="301"/>
      <c r="E504" s="301"/>
      <c r="F504" s="300"/>
    </row>
    <row r="505" spans="1:6" ht="25.5">
      <c r="A505" s="199" t="s">
        <v>183</v>
      </c>
      <c r="B505" s="27" t="s">
        <v>2848</v>
      </c>
      <c r="C505" s="19"/>
      <c r="D505" s="301"/>
      <c r="E505" s="301"/>
      <c r="F505" s="300"/>
    </row>
    <row r="506" spans="1:6" ht="12.75">
      <c r="A506" s="199"/>
      <c r="B506" s="27" t="s">
        <v>765</v>
      </c>
      <c r="C506" s="19" t="s">
        <v>2557</v>
      </c>
      <c r="D506" s="301">
        <v>78</v>
      </c>
      <c r="E506" s="301">
        <v>30</v>
      </c>
      <c r="F506" s="300">
        <f>D506*E506</f>
        <v>2340</v>
      </c>
    </row>
    <row r="507" spans="1:6" ht="12.75">
      <c r="A507" s="199"/>
      <c r="B507" s="27"/>
      <c r="C507" s="19"/>
      <c r="D507" s="301"/>
      <c r="E507" s="301"/>
      <c r="F507" s="300"/>
    </row>
    <row r="508" spans="1:6" ht="25.5">
      <c r="A508" s="199"/>
      <c r="B508" s="28" t="s">
        <v>137</v>
      </c>
      <c r="C508" s="19"/>
      <c r="D508" s="301"/>
      <c r="E508" s="301"/>
      <c r="F508" s="300"/>
    </row>
    <row r="509" spans="1:6" ht="12.75">
      <c r="A509" s="199"/>
      <c r="B509" s="27"/>
      <c r="C509" s="19"/>
      <c r="D509" s="301"/>
      <c r="E509" s="301"/>
      <c r="F509" s="300"/>
    </row>
    <row r="510" spans="1:6" ht="25.5">
      <c r="A510" s="199"/>
      <c r="B510" s="27" t="s">
        <v>2851</v>
      </c>
      <c r="C510" s="19"/>
      <c r="D510" s="301"/>
      <c r="E510" s="301"/>
      <c r="F510" s="300"/>
    </row>
    <row r="511" spans="1:6" ht="25.5">
      <c r="A511" s="199"/>
      <c r="B511" s="27" t="s">
        <v>2852</v>
      </c>
      <c r="C511" s="19"/>
      <c r="D511" s="301"/>
      <c r="E511" s="301"/>
      <c r="F511" s="300"/>
    </row>
    <row r="512" spans="1:6" ht="16.5" customHeight="1">
      <c r="A512" s="199"/>
      <c r="B512" s="27" t="s">
        <v>2853</v>
      </c>
      <c r="C512" s="19"/>
      <c r="D512" s="301"/>
      <c r="E512" s="301"/>
      <c r="F512" s="300"/>
    </row>
    <row r="513" spans="1:6" ht="25.5">
      <c r="A513" s="199"/>
      <c r="B513" s="27" t="s">
        <v>2854</v>
      </c>
      <c r="C513" s="19"/>
      <c r="D513" s="301"/>
      <c r="E513" s="301"/>
      <c r="F513" s="300"/>
    </row>
    <row r="514" spans="1:6" ht="27">
      <c r="A514" s="199"/>
      <c r="B514" s="27" t="s">
        <v>2691</v>
      </c>
      <c r="C514" s="19"/>
      <c r="D514" s="301"/>
      <c r="E514" s="301"/>
      <c r="F514" s="300"/>
    </row>
    <row r="515" spans="1:6" ht="25.5">
      <c r="A515" s="199"/>
      <c r="B515" s="28" t="s">
        <v>2692</v>
      </c>
      <c r="C515" s="19"/>
      <c r="D515" s="301"/>
      <c r="E515" s="301"/>
      <c r="F515" s="300"/>
    </row>
    <row r="516" spans="1:6" ht="25.5">
      <c r="A516" s="199"/>
      <c r="B516" s="28" t="s">
        <v>2693</v>
      </c>
      <c r="C516" s="19"/>
      <c r="D516" s="301"/>
      <c r="E516" s="301"/>
      <c r="F516" s="300"/>
    </row>
    <row r="517" spans="1:6" ht="12.75">
      <c r="A517" s="199"/>
      <c r="B517" s="28" t="s">
        <v>2694</v>
      </c>
      <c r="C517" s="19" t="s">
        <v>2557</v>
      </c>
      <c r="D517" s="301">
        <v>150</v>
      </c>
      <c r="E517" s="301">
        <v>220</v>
      </c>
      <c r="F517" s="300">
        <f>D517*E517</f>
        <v>33000</v>
      </c>
    </row>
    <row r="518" spans="1:6" ht="25.5">
      <c r="A518" s="199"/>
      <c r="B518" s="27" t="s">
        <v>2679</v>
      </c>
      <c r="C518" s="19"/>
      <c r="D518" s="301"/>
      <c r="E518" s="301"/>
      <c r="F518" s="300"/>
    </row>
    <row r="519" spans="1:6" ht="12.75">
      <c r="A519" s="199"/>
      <c r="B519" s="27" t="s">
        <v>1446</v>
      </c>
      <c r="C519" s="19" t="s">
        <v>2557</v>
      </c>
      <c r="D519" s="301">
        <v>300</v>
      </c>
      <c r="E519" s="301">
        <v>20</v>
      </c>
      <c r="F519" s="300">
        <f>D519*E519</f>
        <v>6000</v>
      </c>
    </row>
    <row r="520" spans="1:6" ht="25.5">
      <c r="A520" s="199"/>
      <c r="B520" s="27" t="s">
        <v>2680</v>
      </c>
      <c r="C520" s="19"/>
      <c r="D520" s="301"/>
      <c r="E520" s="301"/>
      <c r="F520" s="300"/>
    </row>
    <row r="521" spans="1:6" ht="27">
      <c r="A521" s="199"/>
      <c r="B521" s="27" t="s">
        <v>2691</v>
      </c>
      <c r="C521" s="19"/>
      <c r="D521" s="301"/>
      <c r="E521" s="301"/>
      <c r="F521" s="300"/>
    </row>
    <row r="522" spans="1:6" ht="25.5">
      <c r="A522" s="199"/>
      <c r="B522" s="28" t="s">
        <v>2692</v>
      </c>
      <c r="C522" s="19"/>
      <c r="D522" s="301"/>
      <c r="E522" s="301"/>
      <c r="F522" s="300"/>
    </row>
    <row r="523" spans="1:6" ht="25.5">
      <c r="A523" s="199"/>
      <c r="B523" s="28" t="s">
        <v>2693</v>
      </c>
      <c r="C523" s="19"/>
      <c r="D523" s="301"/>
      <c r="E523" s="301"/>
      <c r="F523" s="300"/>
    </row>
    <row r="524" spans="1:6" ht="12.75">
      <c r="A524" s="199"/>
      <c r="B524" s="28" t="s">
        <v>2694</v>
      </c>
      <c r="C524" s="19" t="s">
        <v>2557</v>
      </c>
      <c r="D524" s="301">
        <v>150</v>
      </c>
      <c r="E524" s="301">
        <v>220</v>
      </c>
      <c r="F524" s="300">
        <f>D524*E524</f>
        <v>33000</v>
      </c>
    </row>
    <row r="525" spans="1:6" ht="25.5">
      <c r="A525" s="199"/>
      <c r="B525" s="27" t="s">
        <v>2681</v>
      </c>
      <c r="C525" s="19"/>
      <c r="D525" s="301"/>
      <c r="E525" s="301"/>
      <c r="F525" s="300"/>
    </row>
    <row r="526" spans="1:6" ht="27">
      <c r="A526" s="199"/>
      <c r="B526" s="27" t="s">
        <v>138</v>
      </c>
      <c r="C526" s="19"/>
      <c r="D526" s="301"/>
      <c r="E526" s="301"/>
      <c r="F526" s="300"/>
    </row>
    <row r="527" spans="1:6" ht="25.5">
      <c r="A527" s="199"/>
      <c r="B527" s="28" t="s">
        <v>2692</v>
      </c>
      <c r="C527" s="19"/>
      <c r="D527" s="301"/>
      <c r="E527" s="301"/>
      <c r="F527" s="300"/>
    </row>
    <row r="528" spans="1:6" ht="25.5">
      <c r="A528" s="199"/>
      <c r="B528" s="28" t="s">
        <v>2693</v>
      </c>
      <c r="C528" s="19"/>
      <c r="D528" s="301"/>
      <c r="E528" s="301"/>
      <c r="F528" s="300"/>
    </row>
    <row r="529" spans="1:6" ht="12.75">
      <c r="A529" s="199"/>
      <c r="B529" s="28" t="s">
        <v>2694</v>
      </c>
      <c r="C529" s="19" t="s">
        <v>2557</v>
      </c>
      <c r="D529" s="301">
        <v>60</v>
      </c>
      <c r="E529" s="301">
        <v>550</v>
      </c>
      <c r="F529" s="300">
        <f>D529*E529</f>
        <v>33000</v>
      </c>
    </row>
    <row r="530" spans="1:6" ht="12.75">
      <c r="A530" s="199"/>
      <c r="B530" s="27"/>
      <c r="C530" s="19"/>
      <c r="D530" s="301"/>
      <c r="E530" s="301"/>
      <c r="F530" s="300"/>
    </row>
    <row r="531" spans="1:6" ht="12.75">
      <c r="A531" s="199"/>
      <c r="B531" s="28" t="s">
        <v>2810</v>
      </c>
      <c r="C531" s="19"/>
      <c r="D531" s="301"/>
      <c r="E531" s="301"/>
      <c r="F531" s="300"/>
    </row>
    <row r="532" spans="1:6" ht="12.75">
      <c r="A532" s="199"/>
      <c r="B532" s="27"/>
      <c r="C532" s="19"/>
      <c r="D532" s="301"/>
      <c r="E532" s="301"/>
      <c r="F532" s="300"/>
    </row>
    <row r="533" spans="1:6" ht="12.75">
      <c r="A533" s="199" t="s">
        <v>2811</v>
      </c>
      <c r="B533" s="27" t="s">
        <v>3018</v>
      </c>
      <c r="C533" s="19" t="s">
        <v>2556</v>
      </c>
      <c r="D533" s="301">
        <v>8</v>
      </c>
      <c r="E533" s="301">
        <v>2400</v>
      </c>
      <c r="F533" s="300">
        <f>D533*E533</f>
        <v>19200</v>
      </c>
    </row>
    <row r="534" spans="1:6" ht="12.75">
      <c r="A534" s="199"/>
      <c r="B534" s="27"/>
      <c r="C534" s="19"/>
      <c r="D534" s="301"/>
      <c r="E534" s="301"/>
      <c r="F534" s="300"/>
    </row>
    <row r="535" spans="1:6" ht="12.75">
      <c r="A535" s="199"/>
      <c r="B535" s="28" t="s">
        <v>190</v>
      </c>
      <c r="C535" s="19"/>
      <c r="D535" s="301"/>
      <c r="E535" s="301"/>
      <c r="F535" s="300"/>
    </row>
    <row r="536" spans="1:6" ht="12.75">
      <c r="A536" s="199"/>
      <c r="B536" s="27"/>
      <c r="C536" s="19"/>
      <c r="D536" s="301"/>
      <c r="E536" s="301"/>
      <c r="F536" s="300"/>
    </row>
    <row r="537" spans="1:6" ht="25.5">
      <c r="A537" s="199" t="s">
        <v>2212</v>
      </c>
      <c r="B537" s="27" t="s">
        <v>2829</v>
      </c>
      <c r="C537" s="19"/>
      <c r="D537" s="301"/>
      <c r="E537" s="301"/>
      <c r="F537" s="300"/>
    </row>
    <row r="538" spans="1:6" ht="12.75">
      <c r="A538" s="199"/>
      <c r="B538" s="27" t="s">
        <v>2682</v>
      </c>
      <c r="C538" s="19" t="s">
        <v>1561</v>
      </c>
      <c r="D538" s="301">
        <v>8</v>
      </c>
      <c r="E538" s="301">
        <v>125</v>
      </c>
      <c r="F538" s="300">
        <f>D538*E538</f>
        <v>1000</v>
      </c>
    </row>
    <row r="539" spans="1:6" ht="12.75">
      <c r="A539" s="199"/>
      <c r="B539" s="27"/>
      <c r="C539" s="19"/>
      <c r="D539" s="301"/>
      <c r="E539" s="301"/>
      <c r="F539" s="300"/>
    </row>
    <row r="540" spans="1:6" ht="12.75">
      <c r="A540" s="199"/>
      <c r="B540"/>
      <c r="C540"/>
      <c r="D540" s="58"/>
      <c r="E540" s="301"/>
      <c r="F540" s="300"/>
    </row>
    <row r="541" spans="1:6" ht="12.75">
      <c r="A541" s="199"/>
      <c r="B541" s="67" t="s">
        <v>1066</v>
      </c>
      <c r="C541" s="19"/>
      <c r="D541" s="298"/>
      <c r="E541" s="301"/>
      <c r="F541" s="318">
        <f>SUM(F352:F539)</f>
        <v>509224.72732843435</v>
      </c>
    </row>
    <row r="542" spans="1:6" ht="12.75">
      <c r="A542" s="55"/>
      <c r="B542" s="63"/>
      <c r="C542" s="63"/>
      <c r="D542" s="298"/>
      <c r="E542" s="319"/>
      <c r="F542" s="319"/>
    </row>
    <row r="543" spans="1:9" s="66" customFormat="1" ht="12.75">
      <c r="A543" s="105">
        <v>10</v>
      </c>
      <c r="B543" s="69" t="s">
        <v>3167</v>
      </c>
      <c r="C543" s="64"/>
      <c r="D543" s="45"/>
      <c r="E543" s="319"/>
      <c r="F543" s="319"/>
      <c r="G543" s="70"/>
      <c r="H543" s="70"/>
      <c r="I543" s="70"/>
    </row>
    <row r="544" spans="1:9" s="43" customFormat="1" ht="12.75">
      <c r="A544" s="82"/>
      <c r="B544" s="71"/>
      <c r="C544" s="64"/>
      <c r="D544" s="45"/>
      <c r="E544" s="319"/>
      <c r="F544" s="319"/>
      <c r="G544" s="72"/>
      <c r="H544" s="72"/>
      <c r="I544" s="72"/>
    </row>
    <row r="545" spans="1:6" ht="12.75">
      <c r="A545" s="243">
        <v>10.1</v>
      </c>
      <c r="B545" s="28" t="s">
        <v>249</v>
      </c>
      <c r="C545" s="19"/>
      <c r="D545" s="301"/>
      <c r="E545" s="301"/>
      <c r="F545" s="300"/>
    </row>
    <row r="546" spans="1:6" s="255" customFormat="1" ht="16.5" customHeight="1">
      <c r="A546" s="256"/>
      <c r="B546" s="257"/>
      <c r="D546" s="334"/>
      <c r="E546" s="320"/>
      <c r="F546" s="320"/>
    </row>
    <row r="547" spans="1:6" ht="93.75" customHeight="1">
      <c r="A547" s="244"/>
      <c r="B547" s="27" t="s">
        <v>2302</v>
      </c>
      <c r="C547" s="19"/>
      <c r="D547" s="301"/>
      <c r="E547" s="301"/>
      <c r="F547" s="300"/>
    </row>
    <row r="548" spans="1:6" ht="12.75">
      <c r="A548" s="244"/>
      <c r="B548" s="27"/>
      <c r="C548" s="19"/>
      <c r="D548" s="301"/>
      <c r="E548" s="301"/>
      <c r="F548" s="300"/>
    </row>
    <row r="549" spans="1:6" ht="63.75">
      <c r="A549" s="199" t="s">
        <v>2303</v>
      </c>
      <c r="B549" s="27" t="s">
        <v>2304</v>
      </c>
      <c r="C549" s="19"/>
      <c r="D549" s="301"/>
      <c r="E549" s="301"/>
      <c r="F549" s="300"/>
    </row>
    <row r="550" spans="1:6" ht="12.75">
      <c r="A550" s="199"/>
      <c r="B550" s="27" t="s">
        <v>2305</v>
      </c>
      <c r="C550" s="19" t="s">
        <v>2556</v>
      </c>
      <c r="D550" s="301">
        <v>8</v>
      </c>
      <c r="E550" s="301">
        <f>'Residential Block'!E735</f>
        <v>2190.4189255399483</v>
      </c>
      <c r="F550" s="300">
        <f>D550*E550</f>
        <v>17523.351404319586</v>
      </c>
    </row>
    <row r="551" spans="1:6" ht="12.75">
      <c r="A551" s="199"/>
      <c r="B551" s="27"/>
      <c r="C551" s="19"/>
      <c r="D551" s="301"/>
      <c r="E551" s="301"/>
      <c r="F551" s="300">
        <f aca="true" t="shared" si="0" ref="F551:F607">D551*E551</f>
        <v>0</v>
      </c>
    </row>
    <row r="552" spans="1:6" ht="45.75" customHeight="1">
      <c r="A552" s="244" t="s">
        <v>2306</v>
      </c>
      <c r="B552" s="27" t="s">
        <v>2415</v>
      </c>
      <c r="C552" s="19" t="s">
        <v>2556</v>
      </c>
      <c r="D552" s="301">
        <v>8</v>
      </c>
      <c r="E552" s="301">
        <f>'Residential Block'!E737</f>
        <v>2318.0214084088225</v>
      </c>
      <c r="F552" s="300">
        <f t="shared" si="0"/>
        <v>18544.17126727058</v>
      </c>
    </row>
    <row r="553" spans="2:6" ht="12.75">
      <c r="B553" s="27"/>
      <c r="C553" s="19"/>
      <c r="D553" s="301"/>
      <c r="E553" s="301"/>
      <c r="F553" s="300">
        <f t="shared" si="0"/>
        <v>0</v>
      </c>
    </row>
    <row r="554" spans="1:6" ht="45" customHeight="1">
      <c r="A554" s="244" t="s">
        <v>2416</v>
      </c>
      <c r="B554" s="27" t="s">
        <v>2417</v>
      </c>
      <c r="C554" s="19" t="s">
        <v>2556</v>
      </c>
      <c r="D554" s="301">
        <v>8</v>
      </c>
      <c r="E554" s="301">
        <f>'Residential Block'!E745</f>
        <v>156.29214717746865</v>
      </c>
      <c r="F554" s="300">
        <f t="shared" si="0"/>
        <v>1250.3371774197492</v>
      </c>
    </row>
    <row r="555" spans="2:6" ht="12.75">
      <c r="B555" s="27"/>
      <c r="C555" s="19"/>
      <c r="D555" s="301"/>
      <c r="E555" s="301"/>
      <c r="F555" s="300">
        <f t="shared" si="0"/>
        <v>0</v>
      </c>
    </row>
    <row r="556" spans="1:12" s="43" customFormat="1" ht="41.25" customHeight="1">
      <c r="A556" s="199" t="s">
        <v>2418</v>
      </c>
      <c r="B556" s="84" t="s">
        <v>2068</v>
      </c>
      <c r="C556" s="2" t="s">
        <v>2556</v>
      </c>
      <c r="D556" s="301">
        <v>8</v>
      </c>
      <c r="E556" s="301">
        <f>'Residential Block'!E743</f>
        <v>350</v>
      </c>
      <c r="F556" s="300">
        <f t="shared" si="0"/>
        <v>2800</v>
      </c>
      <c r="G556" s="72"/>
      <c r="H556" s="72"/>
      <c r="I556" s="72"/>
      <c r="J556" s="72"/>
      <c r="K556" s="72"/>
      <c r="L556" s="72"/>
    </row>
    <row r="557" spans="1:12" s="43" customFormat="1" ht="15" customHeight="1">
      <c r="A557" s="87"/>
      <c r="B557" s="84"/>
      <c r="C557" s="2"/>
      <c r="D557" s="332"/>
      <c r="E557" s="302"/>
      <c r="F557" s="300">
        <f t="shared" si="0"/>
        <v>0</v>
      </c>
      <c r="G557" s="72"/>
      <c r="H557" s="72"/>
      <c r="I557" s="72"/>
      <c r="J557" s="72"/>
      <c r="K557" s="72"/>
      <c r="L557" s="72"/>
    </row>
    <row r="558" spans="1:6" ht="50.25" customHeight="1">
      <c r="A558" s="199" t="s">
        <v>2069</v>
      </c>
      <c r="B558" s="27" t="s">
        <v>2070</v>
      </c>
      <c r="C558" s="19" t="s">
        <v>2556</v>
      </c>
      <c r="D558" s="301">
        <v>8</v>
      </c>
      <c r="E558" s="301">
        <f>'Residential Block'!E745</f>
        <v>156.29214717746865</v>
      </c>
      <c r="F558" s="300">
        <f t="shared" si="0"/>
        <v>1250.3371774197492</v>
      </c>
    </row>
    <row r="559" spans="1:6" ht="12.75">
      <c r="A559" s="244"/>
      <c r="B559" s="27"/>
      <c r="C559" s="19"/>
      <c r="D559" s="301"/>
      <c r="E559" s="301"/>
      <c r="F559" s="300">
        <f t="shared" si="0"/>
        <v>0</v>
      </c>
    </row>
    <row r="560" spans="1:6" ht="51">
      <c r="A560" s="244" t="s">
        <v>2071</v>
      </c>
      <c r="B560" s="27" t="s">
        <v>2072</v>
      </c>
      <c r="C560" s="19" t="s">
        <v>2556</v>
      </c>
      <c r="D560" s="301">
        <v>8</v>
      </c>
      <c r="E560" s="301">
        <f>'Residential Block'!E747</f>
        <v>156.29214717746865</v>
      </c>
      <c r="F560" s="300">
        <f t="shared" si="0"/>
        <v>1250.3371774197492</v>
      </c>
    </row>
    <row r="561" spans="1:6" ht="12.75">
      <c r="A561" s="199"/>
      <c r="B561" s="27"/>
      <c r="C561" s="19"/>
      <c r="D561" s="301"/>
      <c r="E561" s="301"/>
      <c r="F561" s="300">
        <f t="shared" si="0"/>
        <v>0</v>
      </c>
    </row>
    <row r="562" spans="1:6" ht="50.25" customHeight="1">
      <c r="A562" s="199" t="s">
        <v>2073</v>
      </c>
      <c r="B562" s="27" t="s">
        <v>2074</v>
      </c>
      <c r="C562" s="19"/>
      <c r="D562" s="301"/>
      <c r="E562" s="301"/>
      <c r="F562" s="300">
        <f t="shared" si="0"/>
        <v>0</v>
      </c>
    </row>
    <row r="563" spans="1:6" ht="12.75">
      <c r="A563" s="244"/>
      <c r="B563" s="27" t="s">
        <v>2075</v>
      </c>
      <c r="C563" s="19" t="s">
        <v>2556</v>
      </c>
      <c r="D563" s="301">
        <v>8</v>
      </c>
      <c r="E563" s="301">
        <f>'Residential Block'!E750</f>
        <v>150</v>
      </c>
      <c r="F563" s="300">
        <f t="shared" si="0"/>
        <v>1200</v>
      </c>
    </row>
    <row r="564" spans="2:6" ht="12.75">
      <c r="B564" s="27"/>
      <c r="C564" s="19"/>
      <c r="D564" s="301"/>
      <c r="E564" s="301"/>
      <c r="F564" s="300">
        <f t="shared" si="0"/>
        <v>0</v>
      </c>
    </row>
    <row r="565" spans="1:6" ht="102">
      <c r="A565" s="244" t="s">
        <v>2076</v>
      </c>
      <c r="B565" s="27" t="s">
        <v>460</v>
      </c>
      <c r="C565" s="19" t="s">
        <v>2556</v>
      </c>
      <c r="D565" s="301">
        <v>8</v>
      </c>
      <c r="E565" s="301">
        <f>'Residential Block'!E765</f>
        <v>16500</v>
      </c>
      <c r="F565" s="300">
        <f t="shared" si="0"/>
        <v>132000</v>
      </c>
    </row>
    <row r="566" spans="2:6" ht="12.75">
      <c r="B566" s="27"/>
      <c r="C566" s="19"/>
      <c r="D566" s="301"/>
      <c r="E566" s="301"/>
      <c r="F566" s="300">
        <f t="shared" si="0"/>
        <v>0</v>
      </c>
    </row>
    <row r="567" spans="1:12" s="43" customFormat="1" ht="41.25" customHeight="1">
      <c r="A567" s="199" t="s">
        <v>461</v>
      </c>
      <c r="B567" s="84" t="s">
        <v>462</v>
      </c>
      <c r="C567" s="2"/>
      <c r="D567" s="301"/>
      <c r="E567" s="301"/>
      <c r="F567" s="300">
        <f t="shared" si="0"/>
        <v>0</v>
      </c>
      <c r="G567" s="72"/>
      <c r="H567" s="72"/>
      <c r="I567" s="72"/>
      <c r="J567" s="72"/>
      <c r="K567" s="72"/>
      <c r="L567" s="72"/>
    </row>
    <row r="568" spans="1:12" s="43" customFormat="1" ht="15" customHeight="1">
      <c r="A568" s="87"/>
      <c r="B568" s="84" t="s">
        <v>2075</v>
      </c>
      <c r="C568" s="2" t="s">
        <v>2556</v>
      </c>
      <c r="D568" s="301">
        <v>2</v>
      </c>
      <c r="E568" s="302">
        <f>'Residential Block'!E768</f>
        <v>150</v>
      </c>
      <c r="F568" s="300">
        <f t="shared" si="0"/>
        <v>300</v>
      </c>
      <c r="G568" s="72"/>
      <c r="H568" s="72"/>
      <c r="I568" s="72"/>
      <c r="J568" s="72"/>
      <c r="K568" s="72"/>
      <c r="L568" s="72"/>
    </row>
    <row r="569" spans="1:6" ht="12.75">
      <c r="A569" s="199"/>
      <c r="B569" s="27"/>
      <c r="C569" s="19"/>
      <c r="D569" s="301"/>
      <c r="E569" s="301"/>
      <c r="F569" s="300">
        <f t="shared" si="0"/>
        <v>0</v>
      </c>
    </row>
    <row r="570" spans="1:6" ht="12.75">
      <c r="A570" s="244" t="s">
        <v>463</v>
      </c>
      <c r="B570" s="84" t="s">
        <v>464</v>
      </c>
      <c r="C570" s="2" t="s">
        <v>2556</v>
      </c>
      <c r="D570" s="301">
        <v>9</v>
      </c>
      <c r="E570" s="301">
        <f>'Residential Block'!E770</f>
        <v>1850</v>
      </c>
      <c r="F570" s="300">
        <f t="shared" si="0"/>
        <v>16650</v>
      </c>
    </row>
    <row r="571" spans="1:6" ht="12.75">
      <c r="A571" s="244"/>
      <c r="B571" s="27"/>
      <c r="C571" s="19"/>
      <c r="D571" s="301"/>
      <c r="E571" s="301"/>
      <c r="F571" s="300">
        <f t="shared" si="0"/>
        <v>0</v>
      </c>
    </row>
    <row r="572" spans="1:6" s="7" customFormat="1" ht="12.75">
      <c r="A572" s="258">
        <v>10.2</v>
      </c>
      <c r="B572" s="28" t="s">
        <v>465</v>
      </c>
      <c r="C572" s="14"/>
      <c r="D572" s="303"/>
      <c r="E572" s="303"/>
      <c r="F572" s="300">
        <f t="shared" si="0"/>
        <v>0</v>
      </c>
    </row>
    <row r="573" spans="1:6" ht="12.75">
      <c r="A573" s="244"/>
      <c r="B573" s="27"/>
      <c r="C573" s="19"/>
      <c r="D573" s="301"/>
      <c r="E573" s="301"/>
      <c r="F573" s="300">
        <f t="shared" si="0"/>
        <v>0</v>
      </c>
    </row>
    <row r="574" spans="1:6" ht="114.75">
      <c r="A574" s="244"/>
      <c r="B574" s="27" t="s">
        <v>466</v>
      </c>
      <c r="C574" s="19"/>
      <c r="D574" s="301"/>
      <c r="E574" s="301"/>
      <c r="F574" s="300">
        <f t="shared" si="0"/>
        <v>0</v>
      </c>
    </row>
    <row r="575" spans="1:6" ht="12.75">
      <c r="A575" s="199"/>
      <c r="B575" s="27"/>
      <c r="C575" s="19"/>
      <c r="D575" s="301"/>
      <c r="E575" s="301"/>
      <c r="F575" s="300">
        <f t="shared" si="0"/>
        <v>0</v>
      </c>
    </row>
    <row r="576" spans="1:6" ht="51">
      <c r="A576" s="199" t="s">
        <v>467</v>
      </c>
      <c r="B576" s="27" t="s">
        <v>468</v>
      </c>
      <c r="C576" s="19"/>
      <c r="D576" s="301"/>
      <c r="E576" s="301"/>
      <c r="F576" s="300">
        <f t="shared" si="0"/>
        <v>0</v>
      </c>
    </row>
    <row r="577" spans="1:6" ht="12.75">
      <c r="A577" s="244"/>
      <c r="B577" s="27" t="s">
        <v>1398</v>
      </c>
      <c r="C577" s="19" t="s">
        <v>92</v>
      </c>
      <c r="D577" s="301">
        <v>19</v>
      </c>
      <c r="E577" s="301">
        <v>37.6935</v>
      </c>
      <c r="F577" s="300">
        <f t="shared" si="0"/>
        <v>716.1765</v>
      </c>
    </row>
    <row r="578" spans="2:6" ht="12.75">
      <c r="B578" s="27" t="s">
        <v>1399</v>
      </c>
      <c r="C578" s="19" t="s">
        <v>92</v>
      </c>
      <c r="D578" s="301">
        <v>28</v>
      </c>
      <c r="E578" s="301">
        <v>44.908500000000004</v>
      </c>
      <c r="F578" s="300">
        <f t="shared" si="0"/>
        <v>1257.438</v>
      </c>
    </row>
    <row r="579" spans="1:6" ht="12.75">
      <c r="A579" s="244"/>
      <c r="B579" s="27" t="s">
        <v>1400</v>
      </c>
      <c r="C579" s="19" t="s">
        <v>92</v>
      </c>
      <c r="D579" s="301">
        <v>15</v>
      </c>
      <c r="E579" s="301">
        <v>56.283500000000004</v>
      </c>
      <c r="F579" s="300">
        <f t="shared" si="0"/>
        <v>844.2525</v>
      </c>
    </row>
    <row r="580" spans="2:6" ht="12.75">
      <c r="B580" s="27" t="s">
        <v>1007</v>
      </c>
      <c r="C580" s="19" t="s">
        <v>92</v>
      </c>
      <c r="D580" s="301">
        <v>11</v>
      </c>
      <c r="E580" s="301">
        <v>71.75350000000002</v>
      </c>
      <c r="F580" s="300">
        <f t="shared" si="0"/>
        <v>789.2885000000002</v>
      </c>
    </row>
    <row r="581" spans="1:12" s="43" customFormat="1" ht="12.75">
      <c r="A581" s="199"/>
      <c r="B581" s="84" t="s">
        <v>1008</v>
      </c>
      <c r="C581" s="2" t="s">
        <v>92</v>
      </c>
      <c r="D581" s="301">
        <v>8</v>
      </c>
      <c r="E581" s="301">
        <v>83.58350000000003</v>
      </c>
      <c r="F581" s="300">
        <f t="shared" si="0"/>
        <v>668.6680000000002</v>
      </c>
      <c r="G581" s="72"/>
      <c r="H581" s="72"/>
      <c r="I581" s="72"/>
      <c r="J581" s="72"/>
      <c r="K581" s="72"/>
      <c r="L581" s="72"/>
    </row>
    <row r="582" spans="1:12" s="43" customFormat="1" ht="15" customHeight="1">
      <c r="A582" s="87"/>
      <c r="B582" s="84"/>
      <c r="C582" s="2"/>
      <c r="D582" s="332"/>
      <c r="E582" s="302"/>
      <c r="F582" s="300">
        <f t="shared" si="0"/>
        <v>0</v>
      </c>
      <c r="G582" s="72"/>
      <c r="H582" s="72"/>
      <c r="I582" s="72"/>
      <c r="J582" s="72"/>
      <c r="K582" s="72"/>
      <c r="L582" s="72"/>
    </row>
    <row r="583" spans="1:6" ht="63.75">
      <c r="A583" s="199" t="s">
        <v>1402</v>
      </c>
      <c r="B583" s="27" t="s">
        <v>2981</v>
      </c>
      <c r="C583" s="19"/>
      <c r="D583" s="301"/>
      <c r="E583" s="301"/>
      <c r="F583" s="300"/>
    </row>
    <row r="584" spans="1:6" ht="12.75">
      <c r="A584" s="244"/>
      <c r="B584" s="27" t="s">
        <v>2982</v>
      </c>
      <c r="C584" s="19" t="s">
        <v>2556</v>
      </c>
      <c r="D584" s="301">
        <v>8</v>
      </c>
      <c r="E584" s="301">
        <v>75</v>
      </c>
      <c r="F584" s="300">
        <f t="shared" si="0"/>
        <v>600</v>
      </c>
    </row>
    <row r="585" spans="1:6" ht="12.75">
      <c r="A585" s="244"/>
      <c r="B585" s="27"/>
      <c r="C585" s="19"/>
      <c r="D585" s="301"/>
      <c r="E585" s="301"/>
      <c r="F585" s="300"/>
    </row>
    <row r="586" spans="1:6" ht="38.25">
      <c r="A586" s="199" t="s">
        <v>2983</v>
      </c>
      <c r="B586" s="27" t="s">
        <v>59</v>
      </c>
      <c r="C586" s="19"/>
      <c r="D586" s="301"/>
      <c r="E586" s="301"/>
      <c r="F586" s="300">
        <f t="shared" si="0"/>
        <v>0</v>
      </c>
    </row>
    <row r="587" spans="1:6" ht="11.25" customHeight="1">
      <c r="A587" s="199"/>
      <c r="B587" s="27" t="s">
        <v>1399</v>
      </c>
      <c r="C587" s="19" t="s">
        <v>92</v>
      </c>
      <c r="D587" s="301">
        <v>3</v>
      </c>
      <c r="E587" s="301">
        <f>'Residential Block'!E790</f>
        <v>35.396822500000006</v>
      </c>
      <c r="F587" s="300">
        <f t="shared" si="0"/>
        <v>106.19046750000001</v>
      </c>
    </row>
    <row r="588" spans="1:6" ht="12.75">
      <c r="A588" s="244"/>
      <c r="B588" s="27" t="s">
        <v>1400</v>
      </c>
      <c r="C588" s="19" t="s">
        <v>92</v>
      </c>
      <c r="D588" s="301">
        <v>1</v>
      </c>
      <c r="E588" s="301">
        <f>'Residential Block'!E791</f>
        <v>42.22182250000001</v>
      </c>
      <c r="F588" s="300">
        <f t="shared" si="0"/>
        <v>42.22182250000001</v>
      </c>
    </row>
    <row r="589" spans="2:6" ht="12.75">
      <c r="B589" s="27" t="s">
        <v>1007</v>
      </c>
      <c r="C589" s="19" t="s">
        <v>92</v>
      </c>
      <c r="D589" s="301">
        <v>1</v>
      </c>
      <c r="E589" s="301">
        <f>'Residential Block'!E792</f>
        <v>55.8718225</v>
      </c>
      <c r="F589" s="300">
        <f t="shared" si="0"/>
        <v>55.8718225</v>
      </c>
    </row>
    <row r="590" spans="1:6" ht="12.75">
      <c r="A590" s="244"/>
      <c r="B590" s="27" t="s">
        <v>1008</v>
      </c>
      <c r="C590" s="19" t="s">
        <v>92</v>
      </c>
      <c r="D590" s="301">
        <v>1</v>
      </c>
      <c r="E590" s="301">
        <f>'Residential Block'!E793</f>
        <v>83.1718225</v>
      </c>
      <c r="F590" s="300">
        <f t="shared" si="0"/>
        <v>83.1718225</v>
      </c>
    </row>
    <row r="591" spans="2:6" ht="12.75">
      <c r="B591" s="27"/>
      <c r="C591" s="19"/>
      <c r="D591" s="301"/>
      <c r="E591" s="301"/>
      <c r="F591" s="300"/>
    </row>
    <row r="592" spans="1:12" s="66" customFormat="1" ht="12.75">
      <c r="A592" s="258">
        <v>10.3</v>
      </c>
      <c r="B592" s="109" t="s">
        <v>2744</v>
      </c>
      <c r="C592" s="5"/>
      <c r="D592" s="303"/>
      <c r="E592" s="303"/>
      <c r="F592" s="300"/>
      <c r="G592" s="70"/>
      <c r="H592" s="70"/>
      <c r="I592" s="70"/>
      <c r="J592" s="70"/>
      <c r="K592" s="70"/>
      <c r="L592" s="70"/>
    </row>
    <row r="593" spans="1:12" s="66" customFormat="1" ht="15" customHeight="1">
      <c r="A593" s="85"/>
      <c r="B593" s="109" t="s">
        <v>2745</v>
      </c>
      <c r="C593" s="5"/>
      <c r="D593" s="335"/>
      <c r="E593" s="321"/>
      <c r="F593" s="300"/>
      <c r="G593" s="70"/>
      <c r="H593" s="70"/>
      <c r="I593" s="70"/>
      <c r="J593" s="70"/>
      <c r="K593" s="70"/>
      <c r="L593" s="70"/>
    </row>
    <row r="594" spans="1:6" ht="12.75">
      <c r="A594" s="199"/>
      <c r="B594" s="27"/>
      <c r="C594" s="19"/>
      <c r="D594" s="301"/>
      <c r="E594" s="301"/>
      <c r="F594" s="300"/>
    </row>
    <row r="595" spans="1:6" ht="146.25" customHeight="1">
      <c r="A595" s="244"/>
      <c r="B595" s="27" t="s">
        <v>1611</v>
      </c>
      <c r="C595" s="19"/>
      <c r="D595" s="301"/>
      <c r="E595" s="301"/>
      <c r="F595" s="300"/>
    </row>
    <row r="596" spans="1:6" ht="12.75">
      <c r="A596" s="244"/>
      <c r="B596" s="27"/>
      <c r="C596" s="19"/>
      <c r="D596" s="301"/>
      <c r="E596" s="301"/>
      <c r="F596" s="300"/>
    </row>
    <row r="597" spans="1:6" ht="38.25">
      <c r="A597" s="199" t="s">
        <v>1612</v>
      </c>
      <c r="B597" s="27" t="s">
        <v>2100</v>
      </c>
      <c r="C597" s="19"/>
      <c r="D597" s="301"/>
      <c r="E597" s="301"/>
      <c r="F597" s="300"/>
    </row>
    <row r="598" spans="1:6" ht="11.25" customHeight="1">
      <c r="A598" s="199"/>
      <c r="B598" s="27" t="s">
        <v>2101</v>
      </c>
      <c r="C598" s="19" t="s">
        <v>92</v>
      </c>
      <c r="D598" s="301">
        <v>12</v>
      </c>
      <c r="E598" s="301">
        <f>'Residential Block'!E804</f>
        <v>55.68307376428981</v>
      </c>
      <c r="F598" s="300">
        <f t="shared" si="0"/>
        <v>668.1968851714777</v>
      </c>
    </row>
    <row r="599" spans="1:6" ht="12.75">
      <c r="A599" s="244"/>
      <c r="B599" s="27" t="s">
        <v>2102</v>
      </c>
      <c r="C599" s="19" t="s">
        <v>92</v>
      </c>
      <c r="D599" s="301">
        <v>49</v>
      </c>
      <c r="E599" s="301">
        <f>'Residential Block'!E805</f>
        <v>60</v>
      </c>
      <c r="F599" s="300">
        <f t="shared" si="0"/>
        <v>2940</v>
      </c>
    </row>
    <row r="600" spans="2:6" ht="12.75">
      <c r="B600" s="27" t="s">
        <v>1627</v>
      </c>
      <c r="C600" s="19" t="s">
        <v>92</v>
      </c>
      <c r="D600" s="301">
        <v>25</v>
      </c>
      <c r="E600" s="301">
        <f>'Residential Block'!E807</f>
        <v>99.56877731228725</v>
      </c>
      <c r="F600" s="300">
        <f t="shared" si="0"/>
        <v>2489.2194328071814</v>
      </c>
    </row>
    <row r="601" spans="1:6" ht="12.75">
      <c r="A601" s="244"/>
      <c r="B601" s="27"/>
      <c r="C601" s="19"/>
      <c r="D601" s="301"/>
      <c r="E601" s="301"/>
      <c r="F601" s="300"/>
    </row>
    <row r="602" spans="1:6" ht="25.5">
      <c r="A602" s="87" t="s">
        <v>1629</v>
      </c>
      <c r="B602" s="27" t="s">
        <v>1630</v>
      </c>
      <c r="C602" s="19"/>
      <c r="D602" s="301"/>
      <c r="E602" s="301"/>
      <c r="F602" s="300"/>
    </row>
    <row r="603" spans="1:12" s="43" customFormat="1" ht="12.75">
      <c r="A603" s="199"/>
      <c r="B603" s="84" t="s">
        <v>1631</v>
      </c>
      <c r="C603" s="2" t="s">
        <v>1561</v>
      </c>
      <c r="D603" s="301">
        <v>2</v>
      </c>
      <c r="E603" s="301">
        <f>'Residential Block'!E812</f>
        <v>125</v>
      </c>
      <c r="F603" s="300">
        <f t="shared" si="0"/>
        <v>250</v>
      </c>
      <c r="G603" s="72"/>
      <c r="H603" s="72"/>
      <c r="I603" s="72"/>
      <c r="J603" s="72"/>
      <c r="K603" s="72"/>
      <c r="L603" s="72"/>
    </row>
    <row r="604" spans="1:12" s="43" customFormat="1" ht="15" customHeight="1">
      <c r="A604" s="87"/>
      <c r="B604" s="84"/>
      <c r="C604" s="2"/>
      <c r="D604" s="332"/>
      <c r="E604" s="302"/>
      <c r="F604" s="300"/>
      <c r="G604" s="72"/>
      <c r="H604" s="72"/>
      <c r="I604" s="72"/>
      <c r="J604" s="72"/>
      <c r="K604" s="72"/>
      <c r="L604" s="72"/>
    </row>
    <row r="605" spans="1:6" ht="12.75">
      <c r="A605" s="258">
        <v>10.4</v>
      </c>
      <c r="B605" s="28" t="s">
        <v>1633</v>
      </c>
      <c r="C605" s="19"/>
      <c r="D605" s="301"/>
      <c r="E605" s="301"/>
      <c r="F605" s="300"/>
    </row>
    <row r="606" spans="1:6" ht="12.75">
      <c r="A606" s="244"/>
      <c r="B606" s="27"/>
      <c r="C606" s="19"/>
      <c r="D606" s="301"/>
      <c r="E606" s="301"/>
      <c r="F606" s="300"/>
    </row>
    <row r="607" spans="1:6" ht="76.5">
      <c r="A607" s="244" t="s">
        <v>1634</v>
      </c>
      <c r="B607" s="27" t="s">
        <v>1635</v>
      </c>
      <c r="C607" s="19" t="s">
        <v>1636</v>
      </c>
      <c r="D607" s="301">
        <v>20</v>
      </c>
      <c r="E607" s="301">
        <f>'Residential Block'!E816</f>
        <v>380</v>
      </c>
      <c r="F607" s="300">
        <f t="shared" si="0"/>
        <v>7600</v>
      </c>
    </row>
    <row r="608" spans="1:6" ht="12.75">
      <c r="A608" s="199"/>
      <c r="B608" s="27"/>
      <c r="C608" s="19"/>
      <c r="D608" s="301"/>
      <c r="E608" s="301"/>
      <c r="F608" s="300"/>
    </row>
    <row r="609" spans="1:6" ht="107.25" customHeight="1">
      <c r="A609" s="199" t="s">
        <v>1637</v>
      </c>
      <c r="B609" s="27" t="s">
        <v>1638</v>
      </c>
      <c r="C609" s="19"/>
      <c r="D609" s="301"/>
      <c r="E609" s="301"/>
      <c r="F609" s="300"/>
    </row>
    <row r="610" spans="1:6" ht="12.75">
      <c r="A610" s="244"/>
      <c r="B610" s="27" t="s">
        <v>2923</v>
      </c>
      <c r="C610" s="19" t="s">
        <v>92</v>
      </c>
      <c r="D610" s="301">
        <v>40</v>
      </c>
      <c r="E610" s="301"/>
      <c r="F610" s="300"/>
    </row>
    <row r="611" spans="2:6" ht="12.75">
      <c r="B611" s="27"/>
      <c r="C611" s="19"/>
      <c r="D611" s="301"/>
      <c r="E611" s="301"/>
      <c r="F611" s="300"/>
    </row>
    <row r="612" spans="1:6" ht="51">
      <c r="A612" s="244" t="s">
        <v>1640</v>
      </c>
      <c r="B612" s="27" t="s">
        <v>1641</v>
      </c>
      <c r="C612" s="19"/>
      <c r="D612" s="301"/>
      <c r="E612" s="301"/>
      <c r="F612" s="300"/>
    </row>
    <row r="613" spans="2:6" ht="12.75">
      <c r="B613" s="27" t="s">
        <v>1642</v>
      </c>
      <c r="C613" s="19"/>
      <c r="D613" s="301"/>
      <c r="E613" s="301"/>
      <c r="F613" s="300"/>
    </row>
    <row r="614" spans="1:12" s="43" customFormat="1" ht="12.75">
      <c r="A614" s="199"/>
      <c r="B614" s="84" t="s">
        <v>2924</v>
      </c>
      <c r="C614" s="2"/>
      <c r="D614" s="301"/>
      <c r="E614" s="301"/>
      <c r="F614" s="300"/>
      <c r="G614" s="72"/>
      <c r="H614" s="72"/>
      <c r="I614" s="72"/>
      <c r="J614" s="72"/>
      <c r="K614" s="72"/>
      <c r="L614" s="72"/>
    </row>
    <row r="615" spans="1:12" s="43" customFormat="1" ht="15" customHeight="1">
      <c r="A615" s="87"/>
      <c r="B615" s="84" t="s">
        <v>1644</v>
      </c>
      <c r="C615" s="2"/>
      <c r="D615" s="332"/>
      <c r="E615" s="302"/>
      <c r="F615" s="300"/>
      <c r="G615" s="72"/>
      <c r="H615" s="72"/>
      <c r="I615" s="72"/>
      <c r="J615" s="72"/>
      <c r="K615" s="72"/>
      <c r="L615" s="72"/>
    </row>
    <row r="616" spans="1:6" ht="12.75">
      <c r="A616" s="199"/>
      <c r="B616" s="27" t="s">
        <v>2925</v>
      </c>
      <c r="C616" s="19"/>
      <c r="D616" s="301"/>
      <c r="E616" s="301"/>
      <c r="F616" s="300"/>
    </row>
    <row r="617" spans="1:6" ht="12.75">
      <c r="A617" s="244"/>
      <c r="B617" s="27" t="s">
        <v>2926</v>
      </c>
      <c r="C617" s="19"/>
      <c r="D617" s="301"/>
      <c r="E617" s="301"/>
      <c r="F617" s="300"/>
    </row>
    <row r="618" spans="1:6" ht="25.5">
      <c r="A618" s="244"/>
      <c r="B618" s="27" t="s">
        <v>3181</v>
      </c>
      <c r="C618" s="19"/>
      <c r="D618" s="301"/>
      <c r="E618" s="301"/>
      <c r="F618" s="300"/>
    </row>
    <row r="619" spans="1:6" ht="12.75">
      <c r="A619" s="199"/>
      <c r="B619" s="27" t="s">
        <v>2927</v>
      </c>
      <c r="C619" s="19" t="s">
        <v>2556</v>
      </c>
      <c r="D619" s="301">
        <v>1</v>
      </c>
      <c r="E619" s="301">
        <v>5500</v>
      </c>
      <c r="F619" s="300">
        <f>D619*E619</f>
        <v>5500</v>
      </c>
    </row>
    <row r="620" spans="1:6" ht="11.25" customHeight="1">
      <c r="A620" s="199"/>
      <c r="B620" s="27"/>
      <c r="C620" s="19"/>
      <c r="D620" s="301"/>
      <c r="E620" s="301"/>
      <c r="F620" s="300"/>
    </row>
    <row r="621" spans="1:6" ht="38.25">
      <c r="A621" s="244" t="s">
        <v>3183</v>
      </c>
      <c r="B621" s="27" t="s">
        <v>3184</v>
      </c>
      <c r="C621" s="19"/>
      <c r="D621" s="301"/>
      <c r="E621" s="301"/>
      <c r="F621" s="300"/>
    </row>
    <row r="622" spans="2:6" ht="12.75">
      <c r="B622" s="28" t="s">
        <v>2928</v>
      </c>
      <c r="C622" s="19" t="s">
        <v>2556</v>
      </c>
      <c r="D622" s="301">
        <v>1</v>
      </c>
      <c r="E622" s="301"/>
      <c r="F622" s="300"/>
    </row>
    <row r="623" spans="1:6" ht="12.75">
      <c r="A623" s="244"/>
      <c r="B623" s="27" t="s">
        <v>3186</v>
      </c>
      <c r="C623" s="19"/>
      <c r="D623" s="301"/>
      <c r="E623" s="301"/>
      <c r="F623" s="300"/>
    </row>
    <row r="624" spans="1:6" ht="14.25">
      <c r="A624" s="87">
        <v>1.1</v>
      </c>
      <c r="B624" s="27" t="s">
        <v>3187</v>
      </c>
      <c r="C624" s="19" t="s">
        <v>1567</v>
      </c>
      <c r="D624" s="301">
        <v>81</v>
      </c>
      <c r="E624" s="301">
        <v>19.851</v>
      </c>
      <c r="F624" s="300">
        <f>D624*E624</f>
        <v>1607.931</v>
      </c>
    </row>
    <row r="625" spans="1:12" s="43" customFormat="1" ht="14.25">
      <c r="A625" s="199">
        <v>1.2</v>
      </c>
      <c r="B625" s="84" t="s">
        <v>3188</v>
      </c>
      <c r="C625" s="2" t="s">
        <v>1567</v>
      </c>
      <c r="D625" s="301">
        <v>114</v>
      </c>
      <c r="E625" s="301">
        <v>27.508000000000003</v>
      </c>
      <c r="F625" s="300">
        <f>D625*E625</f>
        <v>3135.9120000000003</v>
      </c>
      <c r="G625" s="72"/>
      <c r="H625" s="72"/>
      <c r="I625" s="72"/>
      <c r="J625" s="72"/>
      <c r="K625" s="72"/>
      <c r="L625" s="72"/>
    </row>
    <row r="626" spans="1:12" s="43" customFormat="1" ht="15" customHeight="1">
      <c r="A626" s="87">
        <v>1.3</v>
      </c>
      <c r="B626" s="84" t="s">
        <v>3189</v>
      </c>
      <c r="C626" s="2" t="s">
        <v>1567</v>
      </c>
      <c r="D626" s="301">
        <v>8</v>
      </c>
      <c r="E626" s="301">
        <v>64.28933333333333</v>
      </c>
      <c r="F626" s="300">
        <f>D626*E626</f>
        <v>514.3146666666667</v>
      </c>
      <c r="G626" s="72"/>
      <c r="H626" s="72"/>
      <c r="I626" s="72"/>
      <c r="J626" s="72"/>
      <c r="K626" s="72"/>
      <c r="L626" s="72"/>
    </row>
    <row r="627" spans="1:6" ht="14.25">
      <c r="A627" s="199">
        <v>1.4</v>
      </c>
      <c r="B627" s="27" t="s">
        <v>3190</v>
      </c>
      <c r="C627" s="19" t="s">
        <v>1567</v>
      </c>
      <c r="D627" s="301">
        <v>46</v>
      </c>
      <c r="E627" s="301">
        <v>64.28933333333333</v>
      </c>
      <c r="F627" s="300">
        <f>D627*E627</f>
        <v>2957.309333333333</v>
      </c>
    </row>
    <row r="628" spans="1:6" ht="14.25">
      <c r="A628" s="244">
        <v>1.6</v>
      </c>
      <c r="B628" s="27" t="s">
        <v>3191</v>
      </c>
      <c r="C628" s="19" t="s">
        <v>1567</v>
      </c>
      <c r="D628" s="301">
        <v>141</v>
      </c>
      <c r="E628" s="301">
        <v>31.672333333333338</v>
      </c>
      <c r="F628" s="300">
        <f>D628*E628</f>
        <v>4465.799000000001</v>
      </c>
    </row>
    <row r="629" spans="1:6" ht="12.75">
      <c r="A629" s="244"/>
      <c r="B629" s="27" t="s">
        <v>3192</v>
      </c>
      <c r="C629" s="19"/>
      <c r="D629" s="301"/>
      <c r="E629" s="301"/>
      <c r="F629" s="300"/>
    </row>
    <row r="630" spans="1:6" ht="14.25">
      <c r="A630" s="199">
        <v>2.1</v>
      </c>
      <c r="B630" s="27" t="s">
        <v>3193</v>
      </c>
      <c r="C630" s="19" t="s">
        <v>1565</v>
      </c>
      <c r="D630" s="301">
        <v>40</v>
      </c>
      <c r="E630" s="301">
        <v>39.633905521472386</v>
      </c>
      <c r="F630" s="300">
        <f>D630*E630</f>
        <v>1585.3562208588955</v>
      </c>
    </row>
    <row r="631" spans="1:6" ht="11.25" customHeight="1">
      <c r="A631" s="199"/>
      <c r="B631" s="27" t="s">
        <v>3194</v>
      </c>
      <c r="C631" s="19"/>
      <c r="D631" s="301"/>
      <c r="E631" s="301"/>
      <c r="F631" s="300"/>
    </row>
    <row r="632" spans="1:6" ht="14.25">
      <c r="A632" s="244">
        <v>2.2</v>
      </c>
      <c r="B632" s="27" t="s">
        <v>567</v>
      </c>
      <c r="C632" s="19" t="s">
        <v>1565</v>
      </c>
      <c r="D632" s="301">
        <v>40</v>
      </c>
      <c r="E632" s="301">
        <v>283.4679012698413</v>
      </c>
      <c r="F632" s="300">
        <f>D632*E632</f>
        <v>11338.716050793653</v>
      </c>
    </row>
    <row r="633" spans="1:6" ht="14.25">
      <c r="A633" s="87">
        <v>2.3</v>
      </c>
      <c r="B633" s="27" t="s">
        <v>568</v>
      </c>
      <c r="C633" s="19" t="s">
        <v>1565</v>
      </c>
      <c r="D633" s="301">
        <v>40</v>
      </c>
      <c r="E633" s="301">
        <v>255.12111114285716</v>
      </c>
      <c r="F633" s="300">
        <f>D633*E633</f>
        <v>10204.844445714287</v>
      </c>
    </row>
    <row r="634" spans="1:6" ht="12.75">
      <c r="A634" s="244">
        <v>2.4</v>
      </c>
      <c r="B634" s="27" t="s">
        <v>569</v>
      </c>
      <c r="C634" s="19" t="s">
        <v>2556</v>
      </c>
      <c r="D634" s="301">
        <v>3</v>
      </c>
      <c r="E634" s="301">
        <v>180</v>
      </c>
      <c r="F634" s="300">
        <f>D634*E634</f>
        <v>540</v>
      </c>
    </row>
    <row r="635" spans="2:6" ht="12.75">
      <c r="B635" s="27" t="s">
        <v>570</v>
      </c>
      <c r="C635" s="19"/>
      <c r="D635" s="301"/>
      <c r="E635" s="301"/>
      <c r="F635" s="300"/>
    </row>
    <row r="636" spans="1:12" s="43" customFormat="1" ht="14.25">
      <c r="A636" s="199">
        <v>2.6</v>
      </c>
      <c r="B636" s="84" t="s">
        <v>571</v>
      </c>
      <c r="C636" s="2" t="s">
        <v>1565</v>
      </c>
      <c r="D636" s="301">
        <v>6</v>
      </c>
      <c r="E636" s="301">
        <v>59.01415</v>
      </c>
      <c r="F636" s="300">
        <f>D636*E636</f>
        <v>354.0849</v>
      </c>
      <c r="G636" s="72"/>
      <c r="H636" s="72"/>
      <c r="I636" s="72"/>
      <c r="J636" s="72"/>
      <c r="K636" s="72"/>
      <c r="L636" s="72"/>
    </row>
    <row r="637" spans="1:12" s="43" customFormat="1" ht="15" customHeight="1">
      <c r="A637" s="87">
        <v>2.7</v>
      </c>
      <c r="B637" s="84" t="s">
        <v>572</v>
      </c>
      <c r="C637" s="2" t="s">
        <v>1565</v>
      </c>
      <c r="D637" s="301">
        <v>45</v>
      </c>
      <c r="E637" s="301">
        <v>59.01415</v>
      </c>
      <c r="F637" s="300">
        <f>D637*E637</f>
        <v>2655.63675</v>
      </c>
      <c r="G637" s="72"/>
      <c r="H637" s="72"/>
      <c r="I637" s="72"/>
      <c r="J637" s="72"/>
      <c r="K637" s="72"/>
      <c r="L637" s="72"/>
    </row>
    <row r="638" spans="1:12" s="43" customFormat="1" ht="15" customHeight="1">
      <c r="A638" s="87"/>
      <c r="B638" s="84"/>
      <c r="C638" s="2"/>
      <c r="D638" s="301"/>
      <c r="E638" s="301"/>
      <c r="F638" s="300"/>
      <c r="G638" s="72"/>
      <c r="H638" s="72"/>
      <c r="I638" s="72"/>
      <c r="J638" s="72"/>
      <c r="K638" s="72"/>
      <c r="L638" s="72"/>
    </row>
    <row r="639" spans="1:6" ht="14.25">
      <c r="A639" s="199">
        <v>2.9</v>
      </c>
      <c r="B639" s="27" t="s">
        <v>573</v>
      </c>
      <c r="C639" s="19" t="s">
        <v>1565</v>
      </c>
      <c r="D639" s="301">
        <v>2.1</v>
      </c>
      <c r="E639" s="301">
        <v>59.01415</v>
      </c>
      <c r="F639" s="300">
        <f>D639*E639</f>
        <v>123.929715</v>
      </c>
    </row>
    <row r="640" spans="1:6" ht="12.75">
      <c r="A640" s="244"/>
      <c r="B640" s="27" t="s">
        <v>574</v>
      </c>
      <c r="C640" s="19"/>
      <c r="D640" s="301"/>
      <c r="E640" s="301"/>
      <c r="F640" s="300"/>
    </row>
    <row r="641" spans="1:6" ht="12.75">
      <c r="A641" s="280">
        <v>2.1</v>
      </c>
      <c r="B641" s="27" t="s">
        <v>575</v>
      </c>
      <c r="C641" s="19" t="s">
        <v>86</v>
      </c>
      <c r="D641" s="301">
        <v>630</v>
      </c>
      <c r="E641" s="301">
        <v>10.491000000000001</v>
      </c>
      <c r="F641" s="300">
        <f>D641*E641</f>
        <v>6609.330000000001</v>
      </c>
    </row>
    <row r="642" spans="1:6" ht="12.75">
      <c r="A642" s="199">
        <v>2.11</v>
      </c>
      <c r="B642" s="27" t="s">
        <v>576</v>
      </c>
      <c r="C642" s="19" t="s">
        <v>86</v>
      </c>
      <c r="D642" s="301">
        <v>100</v>
      </c>
      <c r="E642" s="301">
        <v>10.491000000000001</v>
      </c>
      <c r="F642" s="300">
        <f>D642*E642</f>
        <v>1049.1000000000001</v>
      </c>
    </row>
    <row r="643" spans="1:6" ht="11.25" customHeight="1">
      <c r="A643" s="199">
        <v>2.12</v>
      </c>
      <c r="B643" s="27" t="s">
        <v>577</v>
      </c>
      <c r="C643" s="19" t="s">
        <v>86</v>
      </c>
      <c r="D643" s="301">
        <v>17</v>
      </c>
      <c r="E643" s="301">
        <v>10.491000000000001</v>
      </c>
      <c r="F643" s="300">
        <f>D643*E643</f>
        <v>178.34700000000004</v>
      </c>
    </row>
    <row r="644" spans="1:6" ht="12.75">
      <c r="A644" s="244">
        <v>2.13</v>
      </c>
      <c r="B644" s="27" t="s">
        <v>578</v>
      </c>
      <c r="C644" s="19" t="s">
        <v>86</v>
      </c>
      <c r="D644" s="301">
        <v>146</v>
      </c>
      <c r="E644" s="301">
        <v>10.491000000000001</v>
      </c>
      <c r="F644" s="300">
        <f>D644*E644</f>
        <v>1531.6860000000001</v>
      </c>
    </row>
    <row r="645" spans="2:6" ht="12.75">
      <c r="B645" s="27" t="s">
        <v>579</v>
      </c>
      <c r="C645" s="19"/>
      <c r="D645" s="301"/>
      <c r="E645" s="301"/>
      <c r="F645" s="300"/>
    </row>
    <row r="646" spans="1:6" ht="14.25">
      <c r="A646" s="244">
        <v>3.1</v>
      </c>
      <c r="B646" s="27" t="s">
        <v>580</v>
      </c>
      <c r="C646" s="19" t="s">
        <v>1567</v>
      </c>
      <c r="D646" s="301">
        <v>56</v>
      </c>
      <c r="E646" s="301">
        <v>590.7397888888889</v>
      </c>
      <c r="F646" s="300">
        <f>D646*E646</f>
        <v>33081.42817777778</v>
      </c>
    </row>
    <row r="647" spans="2:6" ht="12.75">
      <c r="B647" s="27" t="s">
        <v>581</v>
      </c>
      <c r="C647" s="19"/>
      <c r="D647" s="301"/>
      <c r="E647" s="301"/>
      <c r="F647" s="300"/>
    </row>
    <row r="648" spans="1:12" s="43" customFormat="1" ht="14.25">
      <c r="A648" s="199">
        <v>4.1</v>
      </c>
      <c r="B648" s="84" t="s">
        <v>582</v>
      </c>
      <c r="C648" s="2" t="s">
        <v>1565</v>
      </c>
      <c r="D648" s="301">
        <v>18</v>
      </c>
      <c r="E648" s="301">
        <v>129.88386862434615</v>
      </c>
      <c r="F648" s="300">
        <f>D648*E648</f>
        <v>2337.9096352382307</v>
      </c>
      <c r="G648" s="72"/>
      <c r="H648" s="72"/>
      <c r="I648" s="72"/>
      <c r="J648" s="72"/>
      <c r="K648" s="72"/>
      <c r="L648" s="72"/>
    </row>
    <row r="649" spans="1:6" ht="12.75">
      <c r="A649" s="199"/>
      <c r="B649" s="27" t="s">
        <v>583</v>
      </c>
      <c r="C649" s="19"/>
      <c r="D649" s="301"/>
      <c r="E649" s="301"/>
      <c r="F649" s="300"/>
    </row>
    <row r="650" spans="1:6" ht="14.25">
      <c r="A650" s="244">
        <v>5.1</v>
      </c>
      <c r="B650" s="27" t="s">
        <v>584</v>
      </c>
      <c r="C650" s="19" t="s">
        <v>1565</v>
      </c>
      <c r="D650" s="301">
        <v>72</v>
      </c>
      <c r="E650" s="301">
        <v>65.41827355555556</v>
      </c>
      <c r="F650" s="300">
        <f>D650*E650</f>
        <v>4710.115696</v>
      </c>
    </row>
    <row r="651" spans="1:6" ht="14.25">
      <c r="A651" s="244">
        <v>5.2</v>
      </c>
      <c r="B651" s="27" t="s">
        <v>585</v>
      </c>
      <c r="C651" s="19" t="s">
        <v>1565</v>
      </c>
      <c r="D651" s="301">
        <v>84</v>
      </c>
      <c r="E651" s="301">
        <v>65.41827355555556</v>
      </c>
      <c r="F651" s="300">
        <f>D651*E651</f>
        <v>5495.134978666667</v>
      </c>
    </row>
    <row r="652" spans="1:6" ht="12.75">
      <c r="A652" s="199"/>
      <c r="B652" s="27" t="s">
        <v>586</v>
      </c>
      <c r="C652" s="19"/>
      <c r="D652" s="301"/>
      <c r="E652" s="301"/>
      <c r="F652" s="300"/>
    </row>
    <row r="653" spans="1:6" ht="15.75" customHeight="1">
      <c r="A653" s="199">
        <v>6.1</v>
      </c>
      <c r="B653" s="27" t="s">
        <v>587</v>
      </c>
      <c r="C653" s="19" t="s">
        <v>2556</v>
      </c>
      <c r="D653" s="301">
        <v>2</v>
      </c>
      <c r="E653" s="301">
        <v>250</v>
      </c>
      <c r="F653" s="300">
        <f>D653*E653</f>
        <v>500</v>
      </c>
    </row>
    <row r="654" spans="1:6" ht="12.75">
      <c r="A654" s="244">
        <v>6.2</v>
      </c>
      <c r="B654" s="27" t="s">
        <v>588</v>
      </c>
      <c r="C654" s="19" t="s">
        <v>2556</v>
      </c>
      <c r="D654" s="301">
        <v>2</v>
      </c>
      <c r="E654" s="301">
        <v>250</v>
      </c>
      <c r="F654" s="300">
        <f>D654*E654</f>
        <v>500</v>
      </c>
    </row>
    <row r="655" spans="2:6" ht="12.75">
      <c r="B655" s="27"/>
      <c r="C655" s="19"/>
      <c r="D655" s="301"/>
      <c r="E655" s="301"/>
      <c r="F655" s="300"/>
    </row>
    <row r="656" spans="1:12" s="43" customFormat="1" ht="12.75">
      <c r="A656" s="199" t="s">
        <v>589</v>
      </c>
      <c r="B656" s="84" t="s">
        <v>590</v>
      </c>
      <c r="C656" s="2"/>
      <c r="D656" s="301"/>
      <c r="E656" s="301"/>
      <c r="F656" s="300"/>
      <c r="G656" s="72"/>
      <c r="H656" s="72"/>
      <c r="I656" s="72"/>
      <c r="J656" s="72"/>
      <c r="K656" s="72"/>
      <c r="L656" s="72"/>
    </row>
    <row r="657" spans="1:12" s="43" customFormat="1" ht="15" customHeight="1">
      <c r="A657" s="87"/>
      <c r="B657" s="84" t="s">
        <v>591</v>
      </c>
      <c r="C657" s="2" t="s">
        <v>2556</v>
      </c>
      <c r="D657" s="301">
        <v>2</v>
      </c>
      <c r="E657" s="302">
        <v>11200</v>
      </c>
      <c r="F657" s="300">
        <f>D657*E657</f>
        <v>22400</v>
      </c>
      <c r="G657" s="72"/>
      <c r="H657" s="72"/>
      <c r="I657" s="72"/>
      <c r="J657" s="72"/>
      <c r="K657" s="72"/>
      <c r="L657" s="72"/>
    </row>
    <row r="658" spans="1:6" ht="12.75">
      <c r="A658" s="199"/>
      <c r="B658" s="27"/>
      <c r="C658" s="19"/>
      <c r="D658" s="301"/>
      <c r="E658" s="301"/>
      <c r="F658" s="300"/>
    </row>
    <row r="659" spans="1:6" ht="65.25" customHeight="1">
      <c r="A659" s="244" t="s">
        <v>592</v>
      </c>
      <c r="B659" s="27" t="s">
        <v>593</v>
      </c>
      <c r="C659" s="19"/>
      <c r="D659" s="301"/>
      <c r="E659" s="301"/>
      <c r="F659" s="300"/>
    </row>
    <row r="660" spans="1:6" ht="12.75">
      <c r="A660" s="244"/>
      <c r="B660" s="27" t="s">
        <v>594</v>
      </c>
      <c r="C660" s="19" t="s">
        <v>92</v>
      </c>
      <c r="D660" s="301">
        <v>18</v>
      </c>
      <c r="E660" s="301">
        <v>70</v>
      </c>
      <c r="F660" s="300">
        <f>D660*E660</f>
        <v>1260</v>
      </c>
    </row>
    <row r="661" spans="1:6" ht="12.75">
      <c r="A661" s="199"/>
      <c r="B661" s="27" t="s">
        <v>595</v>
      </c>
      <c r="C661" s="19" t="s">
        <v>92</v>
      </c>
      <c r="D661" s="301">
        <v>25</v>
      </c>
      <c r="E661" s="301">
        <v>90</v>
      </c>
      <c r="F661" s="300">
        <f>D661*E661</f>
        <v>2250</v>
      </c>
    </row>
    <row r="662" spans="1:6" ht="11.25" customHeight="1">
      <c r="A662" s="199"/>
      <c r="B662" s="27"/>
      <c r="C662" s="19"/>
      <c r="D662" s="301"/>
      <c r="E662" s="301"/>
      <c r="F662" s="300"/>
    </row>
    <row r="663" spans="1:6" ht="38.25">
      <c r="A663" s="186" t="s">
        <v>596</v>
      </c>
      <c r="B663" s="27" t="s">
        <v>597</v>
      </c>
      <c r="C663" s="19"/>
      <c r="D663" s="301"/>
      <c r="E663" s="301"/>
      <c r="F663" s="300"/>
    </row>
    <row r="664" spans="2:6" ht="12.75">
      <c r="B664" s="27" t="s">
        <v>598</v>
      </c>
      <c r="C664" s="19" t="s">
        <v>599</v>
      </c>
      <c r="D664" s="301">
        <v>4</v>
      </c>
      <c r="E664" s="301">
        <v>60</v>
      </c>
      <c r="F664" s="300">
        <f>D664*E664</f>
        <v>240</v>
      </c>
    </row>
    <row r="665" spans="1:6" ht="12.75">
      <c r="A665" s="244"/>
      <c r="B665" s="27"/>
      <c r="C665" s="19"/>
      <c r="D665" s="301"/>
      <c r="E665" s="301"/>
      <c r="F665" s="300"/>
    </row>
    <row r="666" spans="1:6" ht="89.25">
      <c r="A666" s="87" t="s">
        <v>600</v>
      </c>
      <c r="B666" s="27" t="s">
        <v>1194</v>
      </c>
      <c r="C666" s="19"/>
      <c r="D666" s="301"/>
      <c r="E666" s="301"/>
      <c r="F666" s="300"/>
    </row>
    <row r="667" spans="1:12" s="43" customFormat="1" ht="12.75">
      <c r="A667" s="199"/>
      <c r="B667" s="84" t="s">
        <v>1195</v>
      </c>
      <c r="C667" s="2"/>
      <c r="D667" s="301"/>
      <c r="E667" s="301"/>
      <c r="F667" s="300"/>
      <c r="G667" s="72"/>
      <c r="H667" s="72"/>
      <c r="I667" s="72"/>
      <c r="J667" s="72"/>
      <c r="K667" s="72"/>
      <c r="L667" s="72"/>
    </row>
    <row r="668" spans="1:12" s="43" customFormat="1" ht="15" customHeight="1">
      <c r="A668" s="87"/>
      <c r="B668" s="84" t="s">
        <v>1196</v>
      </c>
      <c r="C668" s="2" t="s">
        <v>2556</v>
      </c>
      <c r="D668" s="301">
        <v>4</v>
      </c>
      <c r="E668" s="301">
        <v>550</v>
      </c>
      <c r="F668" s="300">
        <f>D668*E668</f>
        <v>2200</v>
      </c>
      <c r="G668" s="72"/>
      <c r="H668" s="72"/>
      <c r="I668" s="72"/>
      <c r="J668" s="72"/>
      <c r="K668" s="72"/>
      <c r="L668" s="72"/>
    </row>
    <row r="669" spans="1:6" ht="12.75">
      <c r="A669" s="199"/>
      <c r="B669" s="27" t="s">
        <v>1197</v>
      </c>
      <c r="C669" s="19"/>
      <c r="D669" s="301"/>
      <c r="E669" s="301"/>
      <c r="F669" s="300"/>
    </row>
    <row r="670" spans="1:6" ht="12.75">
      <c r="A670" s="244"/>
      <c r="B670" s="27" t="s">
        <v>1198</v>
      </c>
      <c r="C670" s="19" t="s">
        <v>2556</v>
      </c>
      <c r="D670" s="301">
        <v>2</v>
      </c>
      <c r="E670" s="301">
        <v>950</v>
      </c>
      <c r="F670" s="300">
        <f>D670*E670</f>
        <v>1900</v>
      </c>
    </row>
    <row r="671" spans="1:6" ht="12.75">
      <c r="A671" s="244"/>
      <c r="B671" s="27"/>
      <c r="C671" s="19"/>
      <c r="D671" s="301"/>
      <c r="E671" s="301"/>
      <c r="F671" s="300"/>
    </row>
    <row r="672" spans="1:6" ht="25.5">
      <c r="A672" s="199" t="s">
        <v>1199</v>
      </c>
      <c r="B672" s="27" t="s">
        <v>1200</v>
      </c>
      <c r="C672" s="19"/>
      <c r="D672" s="301"/>
      <c r="E672" s="301"/>
      <c r="F672" s="300"/>
    </row>
    <row r="673" spans="1:6" ht="11.25" customHeight="1">
      <c r="A673" s="199"/>
      <c r="B673" s="27" t="s">
        <v>1195</v>
      </c>
      <c r="C673" s="19"/>
      <c r="D673" s="301"/>
      <c r="E673" s="301"/>
      <c r="F673" s="300"/>
    </row>
    <row r="674" spans="1:6" ht="12.75">
      <c r="A674" s="244"/>
      <c r="B674" s="27" t="s">
        <v>1196</v>
      </c>
      <c r="C674" s="19" t="s">
        <v>2556</v>
      </c>
      <c r="D674" s="301">
        <v>2</v>
      </c>
      <c r="E674" s="301">
        <v>550</v>
      </c>
      <c r="F674" s="300">
        <f>D674*E674</f>
        <v>1100</v>
      </c>
    </row>
    <row r="675" spans="2:6" ht="12.75">
      <c r="B675" s="27"/>
      <c r="C675" s="19"/>
      <c r="D675" s="301"/>
      <c r="E675" s="301"/>
      <c r="F675" s="300"/>
    </row>
    <row r="676" spans="1:6" ht="25.5">
      <c r="A676" s="186" t="s">
        <v>2053</v>
      </c>
      <c r="B676" s="27" t="s">
        <v>2054</v>
      </c>
      <c r="C676" s="19"/>
      <c r="D676" s="301"/>
      <c r="E676" s="301"/>
      <c r="F676" s="300"/>
    </row>
    <row r="677" spans="2:6" ht="12.75">
      <c r="B677" s="27" t="s">
        <v>1195</v>
      </c>
      <c r="C677" s="19"/>
      <c r="D677" s="301"/>
      <c r="E677" s="301"/>
      <c r="F677" s="300"/>
    </row>
    <row r="678" spans="1:12" s="43" customFormat="1" ht="12.75">
      <c r="A678" s="199"/>
      <c r="B678" s="84" t="s">
        <v>1196</v>
      </c>
      <c r="C678" s="2" t="s">
        <v>2556</v>
      </c>
      <c r="D678" s="301">
        <v>6</v>
      </c>
      <c r="E678" s="302">
        <v>950</v>
      </c>
      <c r="F678" s="300">
        <f>D678*E678</f>
        <v>5700</v>
      </c>
      <c r="G678" s="72"/>
      <c r="H678" s="72"/>
      <c r="I678" s="72"/>
      <c r="J678" s="72"/>
      <c r="K678" s="72"/>
      <c r="L678" s="72"/>
    </row>
    <row r="679" spans="1:12" s="43" customFormat="1" ht="15" customHeight="1">
      <c r="A679" s="87"/>
      <c r="B679" s="84"/>
      <c r="C679" s="2"/>
      <c r="D679" s="332"/>
      <c r="E679" s="301"/>
      <c r="F679" s="300"/>
      <c r="G679" s="72"/>
      <c r="H679" s="72"/>
      <c r="I679" s="72"/>
      <c r="J679" s="72"/>
      <c r="K679" s="72"/>
      <c r="L679" s="72"/>
    </row>
    <row r="680" spans="1:6" ht="50.25" customHeight="1">
      <c r="A680" s="199" t="s">
        <v>2055</v>
      </c>
      <c r="B680" s="27" t="s">
        <v>2056</v>
      </c>
      <c r="C680" s="19"/>
      <c r="D680" s="301"/>
      <c r="E680" s="301"/>
      <c r="F680" s="300"/>
    </row>
    <row r="681" spans="1:6" ht="12.75">
      <c r="A681" s="244"/>
      <c r="B681" s="27" t="s">
        <v>2103</v>
      </c>
      <c r="C681" s="19" t="s">
        <v>1636</v>
      </c>
      <c r="D681" s="301">
        <v>32</v>
      </c>
      <c r="E681" s="301">
        <v>150</v>
      </c>
      <c r="F681" s="300">
        <f aca="true" t="shared" si="1" ref="F681:F686">D681*E681</f>
        <v>4800</v>
      </c>
    </row>
    <row r="682" spans="1:6" ht="12.75">
      <c r="A682" s="244"/>
      <c r="B682" s="27" t="s">
        <v>2104</v>
      </c>
      <c r="C682" s="19" t="s">
        <v>1636</v>
      </c>
      <c r="D682" s="301">
        <v>88</v>
      </c>
      <c r="E682" s="301">
        <v>200</v>
      </c>
      <c r="F682" s="300">
        <f t="shared" si="1"/>
        <v>17600</v>
      </c>
    </row>
    <row r="683" spans="1:6" ht="12.75">
      <c r="A683" s="199"/>
      <c r="B683" s="27"/>
      <c r="C683" s="19"/>
      <c r="D683" s="301"/>
      <c r="E683" s="301"/>
      <c r="F683" s="300"/>
    </row>
    <row r="684" spans="1:6" ht="11.25" customHeight="1">
      <c r="A684" s="199" t="s">
        <v>2105</v>
      </c>
      <c r="B684" s="27" t="s">
        <v>2106</v>
      </c>
      <c r="C684" s="19"/>
      <c r="D684" s="301"/>
      <c r="E684" s="301"/>
      <c r="F684" s="300"/>
    </row>
    <row r="685" spans="1:6" ht="12.75">
      <c r="A685" s="244"/>
      <c r="B685" s="27" t="s">
        <v>2103</v>
      </c>
      <c r="C685" s="19" t="s">
        <v>1636</v>
      </c>
      <c r="D685" s="301">
        <v>9</v>
      </c>
      <c r="E685" s="301">
        <v>150</v>
      </c>
      <c r="F685" s="300">
        <f t="shared" si="1"/>
        <v>1350</v>
      </c>
    </row>
    <row r="686" spans="2:6" ht="12.75">
      <c r="B686" s="27" t="s">
        <v>2104</v>
      </c>
      <c r="C686" s="19" t="s">
        <v>1636</v>
      </c>
      <c r="D686" s="301">
        <v>18</v>
      </c>
      <c r="E686" s="301">
        <v>200</v>
      </c>
      <c r="F686" s="300">
        <f t="shared" si="1"/>
        <v>3600</v>
      </c>
    </row>
    <row r="687" spans="1:6" ht="12.75">
      <c r="A687" s="244"/>
      <c r="B687" s="27"/>
      <c r="C687" s="19"/>
      <c r="D687" s="301"/>
      <c r="E687" s="301"/>
      <c r="F687" s="300"/>
    </row>
    <row r="688" spans="1:9" s="43" customFormat="1" ht="13.5" thickBot="1">
      <c r="A688" s="81"/>
      <c r="B688" s="261" t="s">
        <v>1573</v>
      </c>
      <c r="C688" s="2"/>
      <c r="D688" s="336"/>
      <c r="E688" s="302"/>
      <c r="F688" s="322">
        <f>SUM(F550:F687)</f>
        <v>377256.11552687763</v>
      </c>
      <c r="G688" s="72"/>
      <c r="H688" s="72"/>
      <c r="I688" s="72"/>
    </row>
    <row r="689" spans="1:6" s="43" customFormat="1" ht="13.5" thickTop="1">
      <c r="A689" s="17"/>
      <c r="B689" s="51"/>
      <c r="C689" s="19"/>
      <c r="D689" s="298"/>
      <c r="E689" s="301"/>
      <c r="F689" s="300"/>
    </row>
    <row r="690" spans="1:6" s="64" customFormat="1" ht="15" customHeight="1">
      <c r="A690" s="249"/>
      <c r="B690" s="63"/>
      <c r="C690" s="19"/>
      <c r="D690" s="298"/>
      <c r="E690" s="317"/>
      <c r="F690" s="317"/>
    </row>
  </sheetData>
  <sheetProtection/>
  <mergeCells count="1">
    <mergeCell ref="A2:D2"/>
  </mergeCells>
  <printOptions/>
  <pageMargins left="0.5" right="0.25" top="1" bottom="1" header="0.5" footer="0.5"/>
  <pageSetup firstPageNumber="134" useFirstPageNumber="1" horizontalDpi="600" verticalDpi="600" orientation="portrait" scale="99" r:id="rId1"/>
  <rowBreaks count="25" manualBreakCount="25">
    <brk id="40" max="255" man="1"/>
    <brk id="68" max="255" man="1"/>
    <brk id="112" max="255" man="1"/>
    <brk id="118" max="255" man="1"/>
    <brk id="166" max="255" man="1"/>
    <brk id="175" max="255" man="1"/>
    <brk id="193" max="255" man="1"/>
    <brk id="209" max="255" man="1"/>
    <brk id="245" max="255" man="1"/>
    <brk id="262" max="255" man="1"/>
    <brk id="290" max="255" man="1"/>
    <brk id="308" max="255" man="1"/>
    <brk id="317" max="255" man="1"/>
    <brk id="332" max="255" man="1"/>
    <brk id="370" max="5" man="1"/>
    <brk id="409" max="255" man="1"/>
    <brk id="438" max="255" man="1"/>
    <brk id="456" max="255" man="1"/>
    <brk id="498" max="255" man="1"/>
    <brk id="541" max="255" man="1"/>
    <brk id="563" max="255" man="1"/>
    <brk id="584" max="255" man="1"/>
    <brk id="604" max="255" man="1"/>
    <brk id="619" max="255" man="1"/>
    <brk id="657" max="255" man="1"/>
  </rowBreaks>
</worksheet>
</file>

<file path=xl/worksheets/sheet2.xml><?xml version="1.0" encoding="utf-8"?>
<worksheet xmlns="http://schemas.openxmlformats.org/spreadsheetml/2006/main" xmlns:r="http://schemas.openxmlformats.org/officeDocument/2006/relationships">
  <dimension ref="A1:D37"/>
  <sheetViews>
    <sheetView view="pageBreakPreview" zoomScaleSheetLayoutView="100" zoomScalePageLayoutView="0" workbookViewId="0" topLeftCell="A1">
      <selection activeCell="B2" sqref="B2"/>
    </sheetView>
  </sheetViews>
  <sheetFormatPr defaultColWidth="9.140625" defaultRowHeight="12.75"/>
  <cols>
    <col min="1" max="1" width="9.140625" style="555" customWidth="1"/>
    <col min="2" max="2" width="60.7109375" style="556" customWidth="1"/>
    <col min="3" max="4" width="12.7109375" style="556" customWidth="1"/>
  </cols>
  <sheetData>
    <row r="1" spans="1:4" ht="30.75">
      <c r="A1" s="1263" t="s">
        <v>29</v>
      </c>
      <c r="B1" s="1263"/>
      <c r="C1" s="1263"/>
      <c r="D1" s="1263"/>
    </row>
    <row r="2" spans="1:2" ht="13.5" thickBot="1">
      <c r="A2" s="635"/>
      <c r="B2" s="636" t="s">
        <v>375</v>
      </c>
    </row>
    <row r="3" spans="1:4" ht="15.75">
      <c r="A3" s="821"/>
      <c r="B3" s="822"/>
      <c r="C3" s="823" t="s">
        <v>3294</v>
      </c>
      <c r="D3" s="824" t="s">
        <v>874</v>
      </c>
    </row>
    <row r="4" spans="1:4" ht="17.25" thickBot="1">
      <c r="A4" s="825" t="s">
        <v>3295</v>
      </c>
      <c r="B4" s="826" t="s">
        <v>3175</v>
      </c>
      <c r="C4" s="827" t="s">
        <v>1561</v>
      </c>
      <c r="D4" s="828" t="s">
        <v>3296</v>
      </c>
    </row>
    <row r="5" spans="1:4" ht="16.5" thickBot="1">
      <c r="A5" s="829">
        <v>1</v>
      </c>
      <c r="B5" s="830" t="s">
        <v>2287</v>
      </c>
      <c r="C5" s="831">
        <v>10120.002</v>
      </c>
      <c r="D5" s="832">
        <f>160*4</f>
        <v>640</v>
      </c>
    </row>
    <row r="6" spans="1:4" ht="17.25" thickBot="1">
      <c r="A6" s="829">
        <v>2</v>
      </c>
      <c r="B6" s="833" t="s">
        <v>3297</v>
      </c>
      <c r="C6" s="834">
        <v>10130.002</v>
      </c>
      <c r="D6" s="835">
        <f>4*289</f>
        <v>1156</v>
      </c>
    </row>
    <row r="7" spans="1:4" ht="17.25" thickBot="1">
      <c r="A7" s="836">
        <v>3</v>
      </c>
      <c r="B7" s="833" t="s">
        <v>3298</v>
      </c>
      <c r="C7" s="834">
        <v>10320.002</v>
      </c>
      <c r="D7" s="835">
        <f>4*195</f>
        <v>780</v>
      </c>
    </row>
    <row r="8" spans="1:4" ht="17.25" thickBot="1">
      <c r="A8" s="836">
        <v>4</v>
      </c>
      <c r="B8" s="833" t="s">
        <v>3299</v>
      </c>
      <c r="C8" s="834">
        <v>10330.002</v>
      </c>
      <c r="D8" s="835">
        <f>4*265</f>
        <v>1060</v>
      </c>
    </row>
    <row r="9" spans="1:4" ht="17.25" thickBot="1">
      <c r="A9" s="836">
        <v>5</v>
      </c>
      <c r="B9" s="837" t="s">
        <v>3300</v>
      </c>
      <c r="C9" s="831">
        <v>10331.002</v>
      </c>
      <c r="D9" s="832">
        <f>4*320</f>
        <v>1280</v>
      </c>
    </row>
    <row r="10" spans="1:4" ht="17.25" thickBot="1">
      <c r="A10" s="825">
        <v>6</v>
      </c>
      <c r="B10" s="838" t="s">
        <v>3301</v>
      </c>
      <c r="C10" s="831">
        <v>10334.002</v>
      </c>
      <c r="D10" s="832">
        <f>4*400</f>
        <v>1600</v>
      </c>
    </row>
    <row r="11" spans="1:4" ht="17.25" thickBot="1">
      <c r="A11" s="825">
        <v>7</v>
      </c>
      <c r="B11" s="839" t="s">
        <v>3302</v>
      </c>
      <c r="C11" s="834">
        <v>10420.002</v>
      </c>
      <c r="D11" s="835">
        <f>4*225</f>
        <v>900</v>
      </c>
    </row>
    <row r="12" spans="1:4" ht="17.25" thickBot="1">
      <c r="A12" s="836">
        <v>8</v>
      </c>
      <c r="B12" s="840" t="s">
        <v>3303</v>
      </c>
      <c r="C12" s="834">
        <v>10430.002</v>
      </c>
      <c r="D12" s="835">
        <f>4*275</f>
        <v>1100</v>
      </c>
    </row>
    <row r="13" spans="1:4" ht="17.25" thickBot="1">
      <c r="A13" s="836">
        <v>9</v>
      </c>
      <c r="B13" s="841" t="s">
        <v>3304</v>
      </c>
      <c r="C13" s="831">
        <v>10551.002</v>
      </c>
      <c r="D13" s="832">
        <f>4*285</f>
        <v>1140</v>
      </c>
    </row>
    <row r="14" spans="1:4" ht="17.25" thickBot="1">
      <c r="A14" s="825">
        <v>10</v>
      </c>
      <c r="B14" s="842" t="s">
        <v>3305</v>
      </c>
      <c r="C14" s="831">
        <v>20101.002</v>
      </c>
      <c r="D14" s="832">
        <f>4*245</f>
        <v>980</v>
      </c>
    </row>
    <row r="15" spans="1:4" ht="17.25" thickBot="1">
      <c r="A15" s="825">
        <v>11</v>
      </c>
      <c r="B15" s="839" t="s">
        <v>724</v>
      </c>
      <c r="C15" s="834">
        <v>20101.003</v>
      </c>
      <c r="D15" s="835">
        <f>4*245</f>
        <v>980</v>
      </c>
    </row>
    <row r="16" spans="1:4" ht="17.25" thickBot="1">
      <c r="A16" s="836">
        <v>12</v>
      </c>
      <c r="B16" s="840" t="s">
        <v>2165</v>
      </c>
      <c r="C16" s="834">
        <v>20102.003</v>
      </c>
      <c r="D16" s="835">
        <f>4*378</f>
        <v>1512</v>
      </c>
    </row>
    <row r="17" spans="1:4" ht="17.25" thickBot="1">
      <c r="A17" s="836">
        <v>13</v>
      </c>
      <c r="B17" s="840" t="s">
        <v>1449</v>
      </c>
      <c r="C17" s="834">
        <v>20116.003</v>
      </c>
      <c r="D17" s="835">
        <f>4*195</f>
        <v>780</v>
      </c>
    </row>
    <row r="18" spans="1:4" ht="17.25" thickBot="1">
      <c r="A18" s="836">
        <v>14</v>
      </c>
      <c r="B18" s="840" t="s">
        <v>1450</v>
      </c>
      <c r="C18" s="834">
        <v>20127.003</v>
      </c>
      <c r="D18" s="835">
        <f>4*239</f>
        <v>956</v>
      </c>
    </row>
    <row r="19" spans="1:4" ht="17.25" thickBot="1">
      <c r="A19" s="825">
        <v>15</v>
      </c>
      <c r="B19" s="839" t="s">
        <v>1451</v>
      </c>
      <c r="C19" s="834">
        <v>20128.003</v>
      </c>
      <c r="D19" s="835">
        <f>4*285</f>
        <v>1140</v>
      </c>
    </row>
    <row r="20" spans="1:4" ht="17.25" thickBot="1">
      <c r="A20" s="836">
        <v>16</v>
      </c>
      <c r="B20" s="840" t="s">
        <v>1452</v>
      </c>
      <c r="C20" s="834">
        <v>20146.003</v>
      </c>
      <c r="D20" s="835">
        <f>4*298</f>
        <v>1192</v>
      </c>
    </row>
    <row r="21" spans="1:4" ht="17.25" thickBot="1">
      <c r="A21" s="836">
        <v>17</v>
      </c>
      <c r="B21" s="840" t="s">
        <v>1453</v>
      </c>
      <c r="C21" s="834">
        <v>20157.003</v>
      </c>
      <c r="D21" s="835">
        <f>4*350</f>
        <v>1400</v>
      </c>
    </row>
    <row r="22" spans="1:4" ht="17.25" thickBot="1">
      <c r="A22" s="836">
        <v>18</v>
      </c>
      <c r="B22" s="840" t="s">
        <v>1454</v>
      </c>
      <c r="C22" s="834">
        <v>20171.003</v>
      </c>
      <c r="D22" s="835">
        <f>4*298</f>
        <v>1192</v>
      </c>
    </row>
    <row r="23" spans="1:4" ht="17.25" thickBot="1">
      <c r="A23" s="836">
        <v>19</v>
      </c>
      <c r="B23" s="840" t="s">
        <v>1455</v>
      </c>
      <c r="C23" s="834">
        <v>20172.003</v>
      </c>
      <c r="D23" s="835">
        <f>4*365</f>
        <v>1460</v>
      </c>
    </row>
    <row r="24" spans="1:4" ht="17.25" thickBot="1">
      <c r="A24" s="836">
        <v>20</v>
      </c>
      <c r="B24" s="840" t="s">
        <v>1456</v>
      </c>
      <c r="C24" s="834">
        <v>21126.003</v>
      </c>
      <c r="D24" s="835">
        <f>4*365</f>
        <v>1460</v>
      </c>
    </row>
    <row r="25" spans="1:4" ht="17.25" thickBot="1">
      <c r="A25" s="836">
        <v>21</v>
      </c>
      <c r="B25" s="840" t="s">
        <v>1457</v>
      </c>
      <c r="C25" s="834">
        <v>21129.003</v>
      </c>
      <c r="D25" s="835">
        <f>4*330</f>
        <v>1320</v>
      </c>
    </row>
    <row r="26" spans="1:4" ht="17.25" thickBot="1">
      <c r="A26" s="836">
        <v>22</v>
      </c>
      <c r="B26" s="840" t="s">
        <v>0</v>
      </c>
      <c r="C26" s="834">
        <v>21172.002</v>
      </c>
      <c r="D26" s="835">
        <f>4*450</f>
        <v>1800</v>
      </c>
    </row>
    <row r="27" spans="1:4" ht="17.25" thickBot="1">
      <c r="A27" s="836">
        <v>23</v>
      </c>
      <c r="B27" s="840" t="s">
        <v>1</v>
      </c>
      <c r="C27" s="834">
        <v>21185.002</v>
      </c>
      <c r="D27" s="835">
        <f>4*311</f>
        <v>1244</v>
      </c>
    </row>
    <row r="28" spans="1:4" ht="17.25" thickBot="1">
      <c r="A28" s="836">
        <v>24</v>
      </c>
      <c r="B28" s="840" t="s">
        <v>1</v>
      </c>
      <c r="C28" s="834">
        <v>21185.003</v>
      </c>
      <c r="D28" s="835">
        <f>4*311</f>
        <v>1244</v>
      </c>
    </row>
    <row r="29" spans="1:4" ht="17.25" thickBot="1">
      <c r="A29" s="836">
        <v>25</v>
      </c>
      <c r="B29" s="841" t="s">
        <v>2</v>
      </c>
      <c r="C29" s="831">
        <v>21641.002</v>
      </c>
      <c r="D29" s="832">
        <f>4*348</f>
        <v>1392</v>
      </c>
    </row>
    <row r="30" spans="1:4" ht="17.25" thickBot="1">
      <c r="A30" s="825">
        <v>26</v>
      </c>
      <c r="B30" s="830" t="s">
        <v>2288</v>
      </c>
      <c r="C30" s="843">
        <v>22130.003</v>
      </c>
      <c r="D30" s="844">
        <f>4*225</f>
        <v>900</v>
      </c>
    </row>
    <row r="31" spans="1:4" ht="18" thickBot="1">
      <c r="A31" s="845">
        <v>27</v>
      </c>
      <c r="B31" s="846" t="s">
        <v>3</v>
      </c>
      <c r="C31" s="831">
        <v>22130.003</v>
      </c>
      <c r="D31" s="832">
        <f>4*225</f>
        <v>900</v>
      </c>
    </row>
    <row r="32" spans="1:4" ht="17.25" thickBot="1">
      <c r="A32" s="825">
        <v>28</v>
      </c>
      <c r="B32" s="847" t="s">
        <v>4</v>
      </c>
      <c r="C32" s="834">
        <v>22143.003</v>
      </c>
      <c r="D32" s="835">
        <f>4*264</f>
        <v>1056</v>
      </c>
    </row>
    <row r="33" spans="1:4" ht="17.25" thickBot="1">
      <c r="A33" s="836">
        <v>29</v>
      </c>
      <c r="B33" s="840" t="s">
        <v>1435</v>
      </c>
      <c r="C33" s="834">
        <v>22144.002</v>
      </c>
      <c r="D33" s="835">
        <f>4*180</f>
        <v>720</v>
      </c>
    </row>
    <row r="34" spans="1:4" ht="17.25" thickBot="1">
      <c r="A34" s="836">
        <v>30</v>
      </c>
      <c r="B34" s="840" t="s">
        <v>1436</v>
      </c>
      <c r="C34" s="834">
        <v>22145.002</v>
      </c>
      <c r="D34" s="835">
        <f>4*160</f>
        <v>640</v>
      </c>
    </row>
    <row r="35" spans="1:4" ht="12.75">
      <c r="A35" s="1264">
        <v>31</v>
      </c>
      <c r="B35" s="1266" t="s">
        <v>1437</v>
      </c>
      <c r="C35" s="1268">
        <v>22146.003</v>
      </c>
      <c r="D35" s="1270">
        <f>4*195</f>
        <v>780</v>
      </c>
    </row>
    <row r="36" spans="1:4" ht="13.5" thickBot="1">
      <c r="A36" s="1265"/>
      <c r="B36" s="1267"/>
      <c r="C36" s="1269"/>
      <c r="D36" s="1271"/>
    </row>
    <row r="37" spans="1:4" ht="15">
      <c r="A37" s="848"/>
      <c r="B37" s="438"/>
      <c r="C37" s="438"/>
      <c r="D37" s="438"/>
    </row>
  </sheetData>
  <sheetProtection/>
  <mergeCells count="5">
    <mergeCell ref="A1:D1"/>
    <mergeCell ref="A35:A36"/>
    <mergeCell ref="B35:B36"/>
    <mergeCell ref="C35:C36"/>
    <mergeCell ref="D35:D36"/>
  </mergeCells>
  <printOptions horizontalCentered="1"/>
  <pageMargins left="0.48" right="0.4"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G41"/>
  <sheetViews>
    <sheetView zoomScalePageLayoutView="0" workbookViewId="0" topLeftCell="A5">
      <selection activeCell="C5" sqref="C5"/>
    </sheetView>
  </sheetViews>
  <sheetFormatPr defaultColWidth="9.140625" defaultRowHeight="12.75"/>
  <cols>
    <col min="1" max="1" width="4.421875" style="438" customWidth="1"/>
    <col min="2" max="2" width="35.28125" style="438" bestFit="1" customWidth="1"/>
    <col min="3" max="3" width="11.140625" style="806" customWidth="1"/>
    <col min="4" max="4" width="16.421875" style="880" customWidth="1"/>
    <col min="5" max="5" width="60.421875" style="438" customWidth="1"/>
    <col min="6" max="6" width="17.00390625" style="438" customWidth="1"/>
    <col min="7" max="16384" width="9.140625" style="438" customWidth="1"/>
  </cols>
  <sheetData>
    <row r="1" ht="12.75"/>
    <row r="2" spans="2:5" ht="23.25">
      <c r="B2" s="1272" t="s">
        <v>2478</v>
      </c>
      <c r="C2" s="1272"/>
      <c r="D2" s="1272"/>
      <c r="E2" s="1272"/>
    </row>
    <row r="3" spans="2:5" ht="7.5" customHeight="1" thickBot="1">
      <c r="B3" s="494"/>
      <c r="C3" s="494"/>
      <c r="D3" s="859"/>
      <c r="E3" s="494"/>
    </row>
    <row r="4" spans="2:5" ht="24" thickTop="1">
      <c r="B4" s="502" t="s">
        <v>2479</v>
      </c>
      <c r="C4" s="503" t="s">
        <v>3152</v>
      </c>
      <c r="D4" s="859"/>
      <c r="E4" s="494"/>
    </row>
    <row r="5" spans="2:5" ht="12.75">
      <c r="B5" s="504" t="s">
        <v>2480</v>
      </c>
      <c r="C5" s="505">
        <f>35*26</f>
        <v>910</v>
      </c>
      <c r="E5" s="506"/>
    </row>
    <row r="6" spans="2:5" ht="12.75">
      <c r="B6" s="504" t="s">
        <v>2481</v>
      </c>
      <c r="C6" s="881">
        <v>26</v>
      </c>
      <c r="E6" s="495"/>
    </row>
    <row r="7" spans="2:7" ht="12.75">
      <c r="B7" s="504" t="s">
        <v>2482</v>
      </c>
      <c r="C7" s="505">
        <f>+C5/C6</f>
        <v>35</v>
      </c>
      <c r="E7" s="882" t="s">
        <v>435</v>
      </c>
      <c r="F7" s="882"/>
      <c r="G7" s="882"/>
    </row>
    <row r="8" spans="2:5" ht="12.75">
      <c r="B8" s="504" t="s">
        <v>2483</v>
      </c>
      <c r="C8" s="505">
        <f>12*C5</f>
        <v>10920</v>
      </c>
      <c r="E8" s="495"/>
    </row>
    <row r="9" spans="2:5" ht="12.75">
      <c r="B9" s="504" t="s">
        <v>2484</v>
      </c>
      <c r="C9" s="505">
        <v>312</v>
      </c>
      <c r="E9" s="495"/>
    </row>
    <row r="10" spans="2:3" ht="13.5" thickBot="1">
      <c r="B10" s="883" t="s">
        <v>2485</v>
      </c>
      <c r="C10" s="884">
        <v>2</v>
      </c>
    </row>
    <row r="11" ht="14.25" thickBot="1" thickTop="1"/>
    <row r="12" spans="1:6" ht="24.75" customHeight="1" thickBot="1" thickTop="1">
      <c r="A12" s="885" t="s">
        <v>2486</v>
      </c>
      <c r="B12" s="886" t="s">
        <v>2479</v>
      </c>
      <c r="C12" s="886" t="s">
        <v>2487</v>
      </c>
      <c r="D12" s="887" t="s">
        <v>2488</v>
      </c>
      <c r="E12" s="888" t="s">
        <v>2489</v>
      </c>
      <c r="F12" s="419"/>
    </row>
    <row r="13" spans="1:6" ht="13.5" thickTop="1">
      <c r="A13" s="889"/>
      <c r="B13" s="890"/>
      <c r="C13" s="891"/>
      <c r="D13" s="892"/>
      <c r="E13" s="893"/>
      <c r="F13" s="419"/>
    </row>
    <row r="14" spans="1:6" ht="12.75">
      <c r="A14" s="504">
        <v>1</v>
      </c>
      <c r="B14" s="894" t="s">
        <v>2490</v>
      </c>
      <c r="C14" s="895">
        <v>22</v>
      </c>
      <c r="D14" s="896">
        <f>+C14*$C$7*70%</f>
        <v>539</v>
      </c>
      <c r="E14" s="897" t="s">
        <v>2289</v>
      </c>
      <c r="F14" s="419"/>
    </row>
    <row r="15" spans="1:6" ht="12.75">
      <c r="A15" s="504"/>
      <c r="B15" s="894"/>
      <c r="C15" s="895"/>
      <c r="D15" s="896"/>
      <c r="E15" s="897"/>
      <c r="F15" s="419"/>
    </row>
    <row r="16" spans="1:6" ht="12.75">
      <c r="A16" s="504">
        <v>2</v>
      </c>
      <c r="B16" s="894" t="s">
        <v>2491</v>
      </c>
      <c r="C16" s="895">
        <v>6</v>
      </c>
      <c r="D16" s="896">
        <f>+C16*$C$7*50%*70%</f>
        <v>73.5</v>
      </c>
      <c r="E16" s="897" t="s">
        <v>309</v>
      </c>
      <c r="F16" s="419"/>
    </row>
    <row r="17" spans="1:6" ht="12.75">
      <c r="A17" s="504"/>
      <c r="B17" s="894"/>
      <c r="C17" s="895"/>
      <c r="D17" s="896"/>
      <c r="E17" s="897"/>
      <c r="F17" s="419"/>
    </row>
    <row r="18" spans="1:6" ht="12.75">
      <c r="A18" s="504">
        <v>3</v>
      </c>
      <c r="B18" s="894" t="s">
        <v>2492</v>
      </c>
      <c r="C18" s="898">
        <f>+C9*0.2</f>
        <v>62.400000000000006</v>
      </c>
      <c r="D18" s="896">
        <f>C7*C18*10%</f>
        <v>218.4</v>
      </c>
      <c r="E18" s="897" t="s">
        <v>2493</v>
      </c>
      <c r="F18" s="419"/>
    </row>
    <row r="19" spans="1:6" ht="12.75">
      <c r="A19" s="504"/>
      <c r="B19" s="894"/>
      <c r="C19" s="895"/>
      <c r="D19" s="896"/>
      <c r="E19" s="897"/>
      <c r="F19" s="419"/>
    </row>
    <row r="20" spans="1:6" ht="12.75">
      <c r="A20" s="504">
        <v>4</v>
      </c>
      <c r="B20" s="894" t="s">
        <v>2494</v>
      </c>
      <c r="C20" s="898">
        <f>+C9*0.05</f>
        <v>15.600000000000001</v>
      </c>
      <c r="D20" s="899">
        <f>C7*C20</f>
        <v>546</v>
      </c>
      <c r="E20" s="897" t="s">
        <v>2495</v>
      </c>
      <c r="F20" s="419"/>
    </row>
    <row r="21" spans="1:6" ht="12.75">
      <c r="A21" s="504"/>
      <c r="B21" s="894"/>
      <c r="C21" s="895"/>
      <c r="D21" s="896"/>
      <c r="E21" s="897"/>
      <c r="F21" s="419"/>
    </row>
    <row r="22" spans="1:6" ht="12.75">
      <c r="A22" s="504">
        <v>5</v>
      </c>
      <c r="B22" s="894" t="s">
        <v>2753</v>
      </c>
      <c r="C22" s="898">
        <f>+C9*0.1</f>
        <v>31.200000000000003</v>
      </c>
      <c r="D22" s="896">
        <f>C7*C22</f>
        <v>1092</v>
      </c>
      <c r="E22" s="897" t="s">
        <v>2496</v>
      </c>
      <c r="F22" s="419"/>
    </row>
    <row r="23" spans="1:6" ht="12.75">
      <c r="A23" s="504"/>
      <c r="B23" s="894"/>
      <c r="C23" s="895"/>
      <c r="D23" s="896"/>
      <c r="E23" s="897"/>
      <c r="F23" s="419"/>
    </row>
    <row r="24" spans="1:6" ht="12.75">
      <c r="A24" s="504">
        <v>6</v>
      </c>
      <c r="B24" s="894" t="s">
        <v>2497</v>
      </c>
      <c r="C24" s="895">
        <v>7</v>
      </c>
      <c r="D24" s="896">
        <f>+C24*$C$7*70%</f>
        <v>171.5</v>
      </c>
      <c r="E24" s="897" t="s">
        <v>307</v>
      </c>
      <c r="F24" s="419"/>
    </row>
    <row r="25" spans="1:6" ht="12.75">
      <c r="A25" s="504"/>
      <c r="B25" s="894"/>
      <c r="C25" s="895"/>
      <c r="D25" s="896"/>
      <c r="E25" s="897"/>
      <c r="F25" s="419"/>
    </row>
    <row r="26" spans="1:6" ht="12.75">
      <c r="A26" s="504">
        <v>7</v>
      </c>
      <c r="B26" s="894" t="s">
        <v>2498</v>
      </c>
      <c r="C26" s="895">
        <v>9</v>
      </c>
      <c r="D26" s="896">
        <f>+C26*$C$7*70%</f>
        <v>220.5</v>
      </c>
      <c r="E26" s="897" t="s">
        <v>308</v>
      </c>
      <c r="F26" s="419"/>
    </row>
    <row r="27" spans="1:6" ht="12.75">
      <c r="A27" s="504"/>
      <c r="B27" s="894"/>
      <c r="C27" s="895"/>
      <c r="D27" s="896"/>
      <c r="E27" s="897" t="s">
        <v>2290</v>
      </c>
      <c r="F27" s="419"/>
    </row>
    <row r="28" spans="1:6" ht="12.75">
      <c r="A28" s="504">
        <v>8</v>
      </c>
      <c r="B28" s="894" t="s">
        <v>509</v>
      </c>
      <c r="C28" s="895"/>
      <c r="D28" s="896">
        <v>300</v>
      </c>
      <c r="E28" s="897" t="s">
        <v>2291</v>
      </c>
      <c r="F28" s="419"/>
    </row>
    <row r="29" spans="1:6" ht="12.75">
      <c r="A29" s="504"/>
      <c r="B29" s="894"/>
      <c r="C29" s="895"/>
      <c r="D29" s="896"/>
      <c r="E29" s="897"/>
      <c r="F29" s="419"/>
    </row>
    <row r="30" spans="1:6" ht="12.75">
      <c r="A30" s="504">
        <v>9</v>
      </c>
      <c r="B30" s="894" t="s">
        <v>510</v>
      </c>
      <c r="C30" s="900"/>
      <c r="D30" s="896">
        <f>25%*2%*90*C7</f>
        <v>15.75</v>
      </c>
      <c r="E30" s="897" t="s">
        <v>511</v>
      </c>
      <c r="F30" s="419"/>
    </row>
    <row r="31" spans="1:6" ht="13.5" customHeight="1">
      <c r="A31" s="504"/>
      <c r="B31" s="894"/>
      <c r="C31" s="895"/>
      <c r="D31" s="896"/>
      <c r="E31" s="897"/>
      <c r="F31" s="419"/>
    </row>
    <row r="32" spans="1:6" ht="13.5" customHeight="1">
      <c r="A32" s="504">
        <v>11</v>
      </c>
      <c r="B32" s="894" t="s">
        <v>512</v>
      </c>
      <c r="C32" s="898">
        <v>13</v>
      </c>
      <c r="D32" s="896">
        <f>+C32*C7</f>
        <v>455</v>
      </c>
      <c r="E32" s="897" t="s">
        <v>1873</v>
      </c>
      <c r="F32" s="419"/>
    </row>
    <row r="33" spans="1:6" ht="13.5" customHeight="1">
      <c r="A33" s="504"/>
      <c r="B33" s="894"/>
      <c r="C33" s="895"/>
      <c r="D33" s="896"/>
      <c r="E33" s="897"/>
      <c r="F33" s="419"/>
    </row>
    <row r="34" spans="1:6" ht="12.75" customHeight="1">
      <c r="A34" s="504">
        <v>12</v>
      </c>
      <c r="B34" s="894" t="s">
        <v>513</v>
      </c>
      <c r="C34" s="898">
        <f>+C6*50%</f>
        <v>13</v>
      </c>
      <c r="D34" s="896">
        <f>+C34*$C$7</f>
        <v>455</v>
      </c>
      <c r="E34" s="897" t="s">
        <v>514</v>
      </c>
      <c r="F34" s="419"/>
    </row>
    <row r="35" spans="1:6" ht="13.5" customHeight="1">
      <c r="A35" s="504"/>
      <c r="B35" s="894"/>
      <c r="C35" s="895"/>
      <c r="D35" s="896"/>
      <c r="E35" s="897"/>
      <c r="F35" s="419"/>
    </row>
    <row r="36" spans="1:5" ht="12.75">
      <c r="A36" s="504"/>
      <c r="B36" s="894"/>
      <c r="C36" s="895"/>
      <c r="D36" s="896"/>
      <c r="E36" s="897"/>
    </row>
    <row r="37" spans="1:6" ht="29.25" customHeight="1">
      <c r="A37" s="901">
        <v>10</v>
      </c>
      <c r="B37" s="902" t="s">
        <v>515</v>
      </c>
      <c r="C37" s="903">
        <f>+C22/4</f>
        <v>7.800000000000001</v>
      </c>
      <c r="D37" s="896">
        <f>+C37*C7</f>
        <v>273</v>
      </c>
      <c r="E37" s="897" t="s">
        <v>516</v>
      </c>
      <c r="F37" s="419"/>
    </row>
    <row r="38" spans="1:6" ht="13.5" thickBot="1">
      <c r="A38" s="904"/>
      <c r="B38" s="905"/>
      <c r="C38" s="906" t="s">
        <v>517</v>
      </c>
      <c r="D38" s="907">
        <f>SUM(D14:D37)</f>
        <v>4359.65</v>
      </c>
      <c r="E38" s="908"/>
      <c r="F38" s="419"/>
    </row>
    <row r="39" spans="1:6" ht="13.5" thickTop="1">
      <c r="A39" s="909"/>
      <c r="B39" s="910"/>
      <c r="C39" s="911"/>
      <c r="D39" s="912"/>
      <c r="E39" s="913"/>
      <c r="F39" s="419"/>
    </row>
    <row r="40" spans="1:6" ht="12.75">
      <c r="A40" s="914"/>
      <c r="B40" s="915" t="s">
        <v>518</v>
      </c>
      <c r="C40" s="916">
        <f>D$38/C$8</f>
        <v>0.39923534798534793</v>
      </c>
      <c r="D40" s="917"/>
      <c r="E40" s="914"/>
      <c r="F40" s="419"/>
    </row>
    <row r="41" spans="1:6" ht="13.5" thickBot="1">
      <c r="A41" s="918"/>
      <c r="B41" s="919"/>
      <c r="C41" s="920"/>
      <c r="D41" s="921"/>
      <c r="E41" s="914"/>
      <c r="F41" s="419"/>
    </row>
    <row r="42" ht="13.5" thickTop="1"/>
  </sheetData>
  <sheetProtection/>
  <mergeCells count="1">
    <mergeCell ref="B2:E2"/>
  </mergeCells>
  <printOptions horizontalCentered="1"/>
  <pageMargins left="0.36" right="0.31" top="0.26" bottom="0.32" header="0.17" footer="0.16"/>
  <pageSetup horizontalDpi="300" verticalDpi="300" orientation="landscape" r:id="rId3"/>
  <legacyDrawing r:id="rId2"/>
</worksheet>
</file>

<file path=xl/worksheets/sheet4.xml><?xml version="1.0" encoding="utf-8"?>
<worksheet xmlns="http://schemas.openxmlformats.org/spreadsheetml/2006/main" xmlns:r="http://schemas.openxmlformats.org/officeDocument/2006/relationships">
  <dimension ref="A3:I51"/>
  <sheetViews>
    <sheetView tabSelected="1" view="pageBreakPreview" zoomScaleSheetLayoutView="100" zoomScalePageLayoutView="0" workbookViewId="0" topLeftCell="A4">
      <selection activeCell="J19" sqref="J19"/>
    </sheetView>
  </sheetViews>
  <sheetFormatPr defaultColWidth="9.140625" defaultRowHeight="12.75"/>
  <cols>
    <col min="1" max="1" width="6.8515625" style="438" customWidth="1"/>
    <col min="2" max="2" width="34.57421875" style="438" customWidth="1"/>
    <col min="3" max="3" width="9.8515625" style="438" customWidth="1"/>
    <col min="4" max="4" width="7.8515625" style="922" customWidth="1"/>
    <col min="5" max="5" width="8.7109375" style="922" customWidth="1"/>
    <col min="6" max="6" width="8.7109375" style="438" customWidth="1"/>
    <col min="7" max="7" width="10.7109375" style="438" customWidth="1"/>
    <col min="8" max="8" width="32.00390625" style="438" customWidth="1"/>
    <col min="9" max="9" width="10.57421875" style="438" customWidth="1"/>
    <col min="10" max="10" width="21.421875" style="438" customWidth="1"/>
    <col min="11" max="16384" width="9.140625" style="438" customWidth="1"/>
  </cols>
  <sheetData>
    <row r="3" spans="4:6" ht="14.25" customHeight="1">
      <c r="D3" s="1273" t="s">
        <v>435</v>
      </c>
      <c r="E3" s="1273"/>
      <c r="F3" s="1273"/>
    </row>
    <row r="4" ht="13.5" thickBot="1"/>
    <row r="5" spans="1:7" s="927" customFormat="1" ht="30" customHeight="1" thickBot="1" thickTop="1">
      <c r="A5" s="923" t="s">
        <v>2855</v>
      </c>
      <c r="B5" s="924" t="s">
        <v>371</v>
      </c>
      <c r="C5" s="924" t="s">
        <v>2856</v>
      </c>
      <c r="D5" s="925" t="s">
        <v>519</v>
      </c>
      <c r="E5" s="925" t="s">
        <v>372</v>
      </c>
      <c r="F5" s="925" t="s">
        <v>520</v>
      </c>
      <c r="G5" s="926" t="s">
        <v>2945</v>
      </c>
    </row>
    <row r="6" spans="1:7" ht="13.5" thickTop="1">
      <c r="A6" s="914"/>
      <c r="B6" s="875"/>
      <c r="C6" s="875"/>
      <c r="D6" s="928"/>
      <c r="E6" s="928"/>
      <c r="F6" s="875"/>
      <c r="G6" s="929"/>
    </row>
    <row r="7" spans="1:9" ht="15.75">
      <c r="A7" s="849">
        <v>1</v>
      </c>
      <c r="B7" s="850" t="s">
        <v>2883</v>
      </c>
      <c r="C7" s="931">
        <f>(148+90)/2</f>
        <v>119</v>
      </c>
      <c r="D7" s="852">
        <f aca="true" t="shared" si="0" ref="D7:D27">C7/8</f>
        <v>14.875</v>
      </c>
      <c r="E7" s="853">
        <f>'Benefit factor'!C40+1</f>
        <v>1.3992353479853479</v>
      </c>
      <c r="F7" s="854">
        <f>D7*E7</f>
        <v>20.81362580128205</v>
      </c>
      <c r="G7" s="855"/>
      <c r="H7" s="1127">
        <f>F7*8</f>
        <v>166.5090064102564</v>
      </c>
      <c r="I7" s="1127">
        <f>H7*30</f>
        <v>4995.270192307692</v>
      </c>
    </row>
    <row r="8" spans="1:9" ht="15.75">
      <c r="A8" s="849">
        <v>2</v>
      </c>
      <c r="B8" s="850" t="s">
        <v>1412</v>
      </c>
      <c r="C8" s="931">
        <v>180</v>
      </c>
      <c r="D8" s="852">
        <f t="shared" si="0"/>
        <v>22.5</v>
      </c>
      <c r="E8" s="853">
        <v>1.4</v>
      </c>
      <c r="F8" s="854">
        <f aca="true" t="shared" si="1" ref="F8:F30">D8*E8</f>
        <v>31.499999999999996</v>
      </c>
      <c r="G8" s="855"/>
      <c r="H8" s="1127">
        <f aca="true" t="shared" si="2" ref="H8:H29">F8*8</f>
        <v>251.99999999999997</v>
      </c>
      <c r="I8" s="1127">
        <f>H8*30</f>
        <v>7559.999999999999</v>
      </c>
    </row>
    <row r="9" spans="1:9" ht="15.75">
      <c r="A9" s="849">
        <v>3</v>
      </c>
      <c r="B9" s="850" t="s">
        <v>1413</v>
      </c>
      <c r="C9" s="931">
        <v>150</v>
      </c>
      <c r="D9" s="852">
        <f t="shared" si="0"/>
        <v>18.75</v>
      </c>
      <c r="E9" s="853">
        <v>1.4</v>
      </c>
      <c r="F9" s="854">
        <f t="shared" si="1"/>
        <v>26.25</v>
      </c>
      <c r="G9" s="855"/>
      <c r="H9" s="1127">
        <f t="shared" si="2"/>
        <v>210</v>
      </c>
      <c r="I9" s="1127">
        <f>H9*30</f>
        <v>6300</v>
      </c>
    </row>
    <row r="10" spans="1:9" ht="15.75">
      <c r="A10" s="849">
        <v>4</v>
      </c>
      <c r="B10" s="850" t="s">
        <v>1414</v>
      </c>
      <c r="C10" s="931">
        <v>180</v>
      </c>
      <c r="D10" s="852">
        <f t="shared" si="0"/>
        <v>22.5</v>
      </c>
      <c r="E10" s="853">
        <v>1.4</v>
      </c>
      <c r="F10" s="854">
        <f t="shared" si="1"/>
        <v>31.499999999999996</v>
      </c>
      <c r="G10" s="855"/>
      <c r="H10" s="1127">
        <f t="shared" si="2"/>
        <v>251.99999999999997</v>
      </c>
      <c r="I10" s="1127">
        <f>H10*30</f>
        <v>7559.999999999999</v>
      </c>
    </row>
    <row r="11" spans="1:9" ht="15.75">
      <c r="A11" s="849">
        <v>5</v>
      </c>
      <c r="B11" s="850" t="s">
        <v>1411</v>
      </c>
      <c r="C11" s="931">
        <v>150</v>
      </c>
      <c r="D11" s="852">
        <f t="shared" si="0"/>
        <v>18.75</v>
      </c>
      <c r="E11" s="853">
        <v>1.4</v>
      </c>
      <c r="F11" s="854">
        <f t="shared" si="1"/>
        <v>26.25</v>
      </c>
      <c r="G11" s="855"/>
      <c r="H11" s="1127">
        <f t="shared" si="2"/>
        <v>210</v>
      </c>
      <c r="I11" s="1127">
        <f>H11*30</f>
        <v>6300</v>
      </c>
    </row>
    <row r="12" spans="1:9" ht="15.75">
      <c r="A12" s="849">
        <v>6</v>
      </c>
      <c r="B12" s="850" t="s">
        <v>2857</v>
      </c>
      <c r="C12" s="931">
        <v>200</v>
      </c>
      <c r="D12" s="852">
        <f t="shared" si="0"/>
        <v>25</v>
      </c>
      <c r="E12" s="853">
        <v>1.4</v>
      </c>
      <c r="F12" s="854">
        <f t="shared" si="1"/>
        <v>35</v>
      </c>
      <c r="G12" s="855"/>
      <c r="H12" s="1127">
        <f t="shared" si="2"/>
        <v>280</v>
      </c>
      <c r="I12" s="1127">
        <f>H12*30</f>
        <v>8400</v>
      </c>
    </row>
    <row r="13" spans="1:8" ht="15.75">
      <c r="A13" s="849">
        <v>7</v>
      </c>
      <c r="B13" s="850" t="s">
        <v>2011</v>
      </c>
      <c r="C13" s="931">
        <v>200</v>
      </c>
      <c r="D13" s="852">
        <f t="shared" si="0"/>
        <v>25</v>
      </c>
      <c r="E13" s="853">
        <v>1.4</v>
      </c>
      <c r="F13" s="854">
        <f t="shared" si="1"/>
        <v>35</v>
      </c>
      <c r="G13" s="855"/>
      <c r="H13" s="1127">
        <f t="shared" si="2"/>
        <v>280</v>
      </c>
    </row>
    <row r="14" spans="1:8" ht="15.75">
      <c r="A14" s="849">
        <v>8</v>
      </c>
      <c r="B14" s="850" t="s">
        <v>2858</v>
      </c>
      <c r="C14" s="931">
        <v>150</v>
      </c>
      <c r="D14" s="852">
        <f t="shared" si="0"/>
        <v>18.75</v>
      </c>
      <c r="E14" s="853">
        <v>1.4</v>
      </c>
      <c r="F14" s="854">
        <f t="shared" si="1"/>
        <v>26.25</v>
      </c>
      <c r="G14" s="855"/>
      <c r="H14" s="1127">
        <f t="shared" si="2"/>
        <v>210</v>
      </c>
    </row>
    <row r="15" spans="1:8" ht="15.75">
      <c r="A15" s="849">
        <v>9</v>
      </c>
      <c r="B15" s="850" t="s">
        <v>1419</v>
      </c>
      <c r="C15" s="931">
        <f>(34+41)/2</f>
        <v>37.5</v>
      </c>
      <c r="D15" s="852">
        <f t="shared" si="0"/>
        <v>4.6875</v>
      </c>
      <c r="E15" s="853">
        <v>1.4</v>
      </c>
      <c r="F15" s="854">
        <f t="shared" si="1"/>
        <v>6.5625</v>
      </c>
      <c r="G15" s="855"/>
      <c r="H15" s="1127">
        <f t="shared" si="2"/>
        <v>52.5</v>
      </c>
    </row>
    <row r="16" spans="1:8" ht="15.75">
      <c r="A16" s="849">
        <v>10</v>
      </c>
      <c r="B16" s="850" t="s">
        <v>1420</v>
      </c>
      <c r="C16" s="931">
        <v>150</v>
      </c>
      <c r="D16" s="852">
        <f t="shared" si="0"/>
        <v>18.75</v>
      </c>
      <c r="E16" s="853">
        <v>1.4</v>
      </c>
      <c r="F16" s="854">
        <f t="shared" si="1"/>
        <v>26.25</v>
      </c>
      <c r="G16" s="855"/>
      <c r="H16" s="1127">
        <f t="shared" si="2"/>
        <v>210</v>
      </c>
    </row>
    <row r="17" spans="1:8" ht="15.75">
      <c r="A17" s="849">
        <v>11</v>
      </c>
      <c r="B17" s="850" t="s">
        <v>1423</v>
      </c>
      <c r="C17" s="851">
        <v>70</v>
      </c>
      <c r="D17" s="852">
        <f t="shared" si="0"/>
        <v>8.75</v>
      </c>
      <c r="E17" s="853">
        <v>1.4</v>
      </c>
      <c r="F17" s="854">
        <f t="shared" si="1"/>
        <v>12.25</v>
      </c>
      <c r="G17" s="929"/>
      <c r="H17" s="1127">
        <f t="shared" si="2"/>
        <v>98</v>
      </c>
    </row>
    <row r="18" spans="1:8" ht="15.75">
      <c r="A18" s="849">
        <v>12</v>
      </c>
      <c r="B18" s="850" t="s">
        <v>1003</v>
      </c>
      <c r="C18" s="851">
        <v>150</v>
      </c>
      <c r="D18" s="852">
        <f t="shared" si="0"/>
        <v>18.75</v>
      </c>
      <c r="E18" s="853">
        <v>1.4</v>
      </c>
      <c r="F18" s="854">
        <f t="shared" si="1"/>
        <v>26.25</v>
      </c>
      <c r="G18" s="855"/>
      <c r="H18" s="1127">
        <f t="shared" si="2"/>
        <v>210</v>
      </c>
    </row>
    <row r="19" spans="1:8" ht="15.75">
      <c r="A19" s="849">
        <v>13</v>
      </c>
      <c r="B19" s="850" t="s">
        <v>2859</v>
      </c>
      <c r="C19" s="931">
        <v>120</v>
      </c>
      <c r="D19" s="852">
        <f t="shared" si="0"/>
        <v>15</v>
      </c>
      <c r="E19" s="853">
        <v>1.4</v>
      </c>
      <c r="F19" s="854">
        <f t="shared" si="1"/>
        <v>21</v>
      </c>
      <c r="G19" s="855"/>
      <c r="H19" s="1127">
        <f t="shared" si="2"/>
        <v>168</v>
      </c>
    </row>
    <row r="20" spans="1:8" ht="15.75">
      <c r="A20" s="849">
        <v>14</v>
      </c>
      <c r="B20" s="850" t="s">
        <v>2860</v>
      </c>
      <c r="C20" s="931">
        <v>50</v>
      </c>
      <c r="D20" s="852">
        <f t="shared" si="0"/>
        <v>6.25</v>
      </c>
      <c r="E20" s="853">
        <v>1.4</v>
      </c>
      <c r="F20" s="854">
        <f t="shared" si="1"/>
        <v>8.75</v>
      </c>
      <c r="G20" s="855"/>
      <c r="H20" s="1127">
        <f>F20*8</f>
        <v>70</v>
      </c>
    </row>
    <row r="21" spans="1:8" ht="15.75">
      <c r="A21" s="849">
        <v>15</v>
      </c>
      <c r="B21" s="850" t="s">
        <v>373</v>
      </c>
      <c r="C21" s="931">
        <v>50</v>
      </c>
      <c r="D21" s="852">
        <f t="shared" si="0"/>
        <v>6.25</v>
      </c>
      <c r="E21" s="853">
        <v>1.4</v>
      </c>
      <c r="F21" s="854">
        <f t="shared" si="1"/>
        <v>8.75</v>
      </c>
      <c r="G21" s="855"/>
      <c r="H21" s="1127">
        <f t="shared" si="2"/>
        <v>70</v>
      </c>
    </row>
    <row r="22" spans="1:9" ht="15.75">
      <c r="A22" s="849">
        <v>16</v>
      </c>
      <c r="B22" s="850" t="s">
        <v>2175</v>
      </c>
      <c r="C22" s="931">
        <f>(66.66+110)/2</f>
        <v>88.33</v>
      </c>
      <c r="D22" s="852">
        <f t="shared" si="0"/>
        <v>11.04125</v>
      </c>
      <c r="E22" s="853">
        <v>1.4</v>
      </c>
      <c r="F22" s="854">
        <f t="shared" si="1"/>
        <v>15.457749999999999</v>
      </c>
      <c r="G22" s="855"/>
      <c r="H22" s="1127">
        <f t="shared" si="2"/>
        <v>123.66199999999999</v>
      </c>
      <c r="I22" s="419"/>
    </row>
    <row r="23" spans="1:9" ht="15.75">
      <c r="A23" s="849">
        <v>17</v>
      </c>
      <c r="B23" s="850" t="s">
        <v>2176</v>
      </c>
      <c r="C23" s="931">
        <f>(38+72)/2</f>
        <v>55</v>
      </c>
      <c r="D23" s="852">
        <f t="shared" si="0"/>
        <v>6.875</v>
      </c>
      <c r="E23" s="853">
        <v>1.4</v>
      </c>
      <c r="F23" s="854">
        <f t="shared" si="1"/>
        <v>9.625</v>
      </c>
      <c r="G23" s="855"/>
      <c r="H23" s="1127">
        <f t="shared" si="2"/>
        <v>77</v>
      </c>
      <c r="I23" s="419"/>
    </row>
    <row r="24" spans="1:9" ht="15.75">
      <c r="A24" s="849">
        <v>18</v>
      </c>
      <c r="B24" s="850" t="s">
        <v>2177</v>
      </c>
      <c r="C24" s="931">
        <f>(50+126)/2</f>
        <v>88</v>
      </c>
      <c r="D24" s="852">
        <f t="shared" si="0"/>
        <v>11</v>
      </c>
      <c r="E24" s="853">
        <v>1.4</v>
      </c>
      <c r="F24" s="854">
        <f t="shared" si="1"/>
        <v>15.399999999999999</v>
      </c>
      <c r="G24" s="855"/>
      <c r="H24" s="1127">
        <f t="shared" si="2"/>
        <v>123.19999999999999</v>
      </c>
      <c r="I24" s="419"/>
    </row>
    <row r="25" spans="1:9" ht="15.75">
      <c r="A25" s="849">
        <v>19</v>
      </c>
      <c r="B25" s="850" t="s">
        <v>2178</v>
      </c>
      <c r="C25" s="851">
        <v>25</v>
      </c>
      <c r="D25" s="852">
        <f t="shared" si="0"/>
        <v>3.125</v>
      </c>
      <c r="E25" s="853">
        <v>1.4</v>
      </c>
      <c r="F25" s="854">
        <f t="shared" si="1"/>
        <v>4.375</v>
      </c>
      <c r="G25" s="929"/>
      <c r="H25" s="1127">
        <f t="shared" si="2"/>
        <v>35</v>
      </c>
      <c r="I25" s="419"/>
    </row>
    <row r="26" spans="1:9" ht="15.75">
      <c r="A26" s="849">
        <v>20</v>
      </c>
      <c r="B26" s="850" t="s">
        <v>454</v>
      </c>
      <c r="C26" s="931">
        <v>53.85</v>
      </c>
      <c r="D26" s="852">
        <f t="shared" si="0"/>
        <v>6.73125</v>
      </c>
      <c r="E26" s="853">
        <v>1.4</v>
      </c>
      <c r="F26" s="854">
        <f t="shared" si="1"/>
        <v>9.42375</v>
      </c>
      <c r="G26" s="855"/>
      <c r="H26" s="1127">
        <f t="shared" si="2"/>
        <v>75.39</v>
      </c>
      <c r="I26" s="932"/>
    </row>
    <row r="27" spans="1:9" ht="15.75">
      <c r="A27" s="849">
        <v>21</v>
      </c>
      <c r="B27" s="850" t="s">
        <v>2179</v>
      </c>
      <c r="C27" s="931">
        <v>50</v>
      </c>
      <c r="D27" s="852">
        <f t="shared" si="0"/>
        <v>6.25</v>
      </c>
      <c r="E27" s="853">
        <v>1.4</v>
      </c>
      <c r="F27" s="854">
        <f t="shared" si="1"/>
        <v>8.75</v>
      </c>
      <c r="G27" s="929"/>
      <c r="H27" s="1127">
        <f t="shared" si="2"/>
        <v>70</v>
      </c>
      <c r="I27" s="932"/>
    </row>
    <row r="28" spans="1:9" ht="15.75">
      <c r="A28" s="849">
        <v>22</v>
      </c>
      <c r="B28" s="850" t="s">
        <v>2180</v>
      </c>
      <c r="C28" s="931">
        <v>88</v>
      </c>
      <c r="D28" s="852">
        <f>C28/8</f>
        <v>11</v>
      </c>
      <c r="E28" s="853">
        <v>1.4</v>
      </c>
      <c r="F28" s="854">
        <f t="shared" si="1"/>
        <v>15.399999999999999</v>
      </c>
      <c r="G28" s="929"/>
      <c r="H28" s="1127">
        <f t="shared" si="2"/>
        <v>123.19999999999999</v>
      </c>
      <c r="I28" s="932"/>
    </row>
    <row r="29" spans="1:9" ht="15.75">
      <c r="A29" s="849">
        <v>23</v>
      </c>
      <c r="B29" s="850" t="s">
        <v>2181</v>
      </c>
      <c r="C29" s="931">
        <v>126</v>
      </c>
      <c r="D29" s="852">
        <f>C29/8</f>
        <v>15.75</v>
      </c>
      <c r="E29" s="853">
        <v>1.4</v>
      </c>
      <c r="F29" s="854">
        <f t="shared" si="1"/>
        <v>22.049999999999997</v>
      </c>
      <c r="G29" s="929"/>
      <c r="H29" s="1127">
        <f t="shared" si="2"/>
        <v>176.39999999999998</v>
      </c>
      <c r="I29" s="419"/>
    </row>
    <row r="30" spans="1:9" ht="16.5" thickBot="1">
      <c r="A30" s="1097">
        <v>24</v>
      </c>
      <c r="B30" s="1098" t="s">
        <v>2182</v>
      </c>
      <c r="C30" s="1099">
        <v>125.99</v>
      </c>
      <c r="D30" s="1100">
        <f>C30/8</f>
        <v>15.74875</v>
      </c>
      <c r="E30" s="1101">
        <v>1.4</v>
      </c>
      <c r="F30" s="1102">
        <f t="shared" si="1"/>
        <v>22.04825</v>
      </c>
      <c r="G30" s="1103"/>
      <c r="H30" s="1127">
        <f>F30*8</f>
        <v>176.386</v>
      </c>
      <c r="I30" s="419"/>
    </row>
    <row r="31" spans="1:9" ht="16.5" thickTop="1">
      <c r="A31" s="1104"/>
      <c r="B31" s="1105"/>
      <c r="C31" s="1104"/>
      <c r="D31" s="1106"/>
      <c r="E31" s="1106"/>
      <c r="F31" s="1104"/>
      <c r="G31" s="1104"/>
      <c r="H31" s="419"/>
      <c r="I31" s="419"/>
    </row>
    <row r="32" spans="1:9" ht="15.75">
      <c r="A32" s="419"/>
      <c r="B32" s="996"/>
      <c r="C32" s="995"/>
      <c r="D32" s="997"/>
      <c r="E32" s="997"/>
      <c r="F32" s="419"/>
      <c r="G32" s="419"/>
      <c r="H32" s="419"/>
      <c r="I32" s="419"/>
    </row>
    <row r="33" spans="1:9" ht="15.75">
      <c r="A33" s="419"/>
      <c r="B33" s="996"/>
      <c r="C33" s="419"/>
      <c r="D33" s="997"/>
      <c r="E33" s="997"/>
      <c r="F33" s="419"/>
      <c r="G33" s="419"/>
      <c r="H33" s="419"/>
      <c r="I33" s="419"/>
    </row>
    <row r="34" spans="1:9" ht="15.75">
      <c r="A34" s="419"/>
      <c r="B34" s="996"/>
      <c r="C34" s="995"/>
      <c r="D34" s="997"/>
      <c r="E34" s="997"/>
      <c r="F34" s="419"/>
      <c r="G34" s="419"/>
      <c r="H34" s="995"/>
      <c r="I34" s="419"/>
    </row>
    <row r="35" spans="1:7" ht="15.75">
      <c r="A35" s="419"/>
      <c r="B35" s="996"/>
      <c r="C35" s="419"/>
      <c r="D35" s="997"/>
      <c r="E35" s="997"/>
      <c r="F35" s="419"/>
      <c r="G35" s="419"/>
    </row>
    <row r="36" spans="1:7" ht="15.75">
      <c r="A36" s="419"/>
      <c r="B36" s="996"/>
      <c r="C36" s="419"/>
      <c r="D36" s="997"/>
      <c r="E36" s="997"/>
      <c r="F36" s="419"/>
      <c r="G36" s="419"/>
    </row>
    <row r="37" spans="1:7" ht="12.75">
      <c r="A37" s="419"/>
      <c r="B37" s="419"/>
      <c r="C37" s="419"/>
      <c r="D37" s="997"/>
      <c r="E37" s="997"/>
      <c r="F37" s="419"/>
      <c r="G37" s="419"/>
    </row>
    <row r="38" spans="1:7" ht="15.75">
      <c r="A38" s="419"/>
      <c r="B38" s="996"/>
      <c r="C38" s="419"/>
      <c r="D38" s="997"/>
      <c r="E38" s="997"/>
      <c r="F38" s="419"/>
      <c r="G38" s="419"/>
    </row>
    <row r="39" spans="1:7" ht="12.75">
      <c r="A39" s="419"/>
      <c r="B39" s="419"/>
      <c r="C39" s="419"/>
      <c r="D39" s="997"/>
      <c r="E39" s="997"/>
      <c r="F39" s="419"/>
      <c r="G39" s="419"/>
    </row>
    <row r="40" spans="1:7" ht="15.75">
      <c r="A40" s="419"/>
      <c r="B40" s="996"/>
      <c r="C40" s="419"/>
      <c r="D40" s="997"/>
      <c r="E40" s="997"/>
      <c r="F40" s="419"/>
      <c r="G40" s="419"/>
    </row>
    <row r="41" spans="1:7" ht="12.75">
      <c r="A41" s="419"/>
      <c r="B41" s="419"/>
      <c r="C41" s="419"/>
      <c r="D41" s="997"/>
      <c r="E41" s="997"/>
      <c r="F41" s="419"/>
      <c r="G41" s="419"/>
    </row>
    <row r="42" spans="1:7" ht="12.75">
      <c r="A42" s="419"/>
      <c r="B42" s="419"/>
      <c r="C42" s="419"/>
      <c r="D42" s="997"/>
      <c r="E42" s="997"/>
      <c r="F42" s="419"/>
      <c r="G42" s="419"/>
    </row>
    <row r="43" spans="1:7" ht="12.75">
      <c r="A43" s="419"/>
      <c r="B43" s="419"/>
      <c r="C43" s="419"/>
      <c r="D43" s="997"/>
      <c r="E43" s="997"/>
      <c r="F43" s="419"/>
      <c r="G43" s="419"/>
    </row>
    <row r="44" spans="1:7" ht="12.75">
      <c r="A44" s="419"/>
      <c r="B44" s="419"/>
      <c r="C44" s="419"/>
      <c r="D44" s="997"/>
      <c r="E44" s="997"/>
      <c r="F44" s="419"/>
      <c r="G44" s="419"/>
    </row>
    <row r="45" spans="1:7" ht="12.75">
      <c r="A45" s="419"/>
      <c r="B45" s="419"/>
      <c r="C45" s="419"/>
      <c r="D45" s="997"/>
      <c r="E45" s="997"/>
      <c r="F45" s="419"/>
      <c r="G45" s="419"/>
    </row>
    <row r="46" spans="1:7" ht="12.75">
      <c r="A46" s="419"/>
      <c r="B46" s="419"/>
      <c r="C46" s="419"/>
      <c r="D46" s="997"/>
      <c r="E46" s="997"/>
      <c r="F46" s="419"/>
      <c r="G46" s="419"/>
    </row>
    <row r="47" spans="1:7" ht="12.75">
      <c r="A47" s="419"/>
      <c r="B47" s="419"/>
      <c r="C47" s="419"/>
      <c r="D47" s="997"/>
      <c r="E47" s="997"/>
      <c r="F47" s="419"/>
      <c r="G47" s="419"/>
    </row>
    <row r="48" spans="1:7" ht="12.75">
      <c r="A48" s="419"/>
      <c r="B48" s="419"/>
      <c r="C48" s="419"/>
      <c r="D48" s="997"/>
      <c r="E48" s="997"/>
      <c r="F48" s="419"/>
      <c r="G48" s="419"/>
    </row>
    <row r="49" spans="1:7" ht="12.75">
      <c r="A49" s="419"/>
      <c r="B49" s="419"/>
      <c r="C49" s="419"/>
      <c r="D49" s="997"/>
      <c r="E49" s="997"/>
      <c r="F49" s="419"/>
      <c r="G49" s="419"/>
    </row>
    <row r="50" spans="1:7" ht="12.75">
      <c r="A50" s="419"/>
      <c r="B50" s="419"/>
      <c r="C50" s="419"/>
      <c r="D50" s="997"/>
      <c r="E50" s="997"/>
      <c r="F50" s="419"/>
      <c r="G50" s="419"/>
    </row>
    <row r="51" spans="1:7" ht="12.75">
      <c r="A51" s="419"/>
      <c r="B51" s="419"/>
      <c r="C51" s="419"/>
      <c r="D51" s="997"/>
      <c r="E51" s="997"/>
      <c r="F51" s="419"/>
      <c r="G51" s="419"/>
    </row>
  </sheetData>
  <sheetProtection/>
  <mergeCells count="1">
    <mergeCell ref="D3:F3"/>
  </mergeCells>
  <printOptions horizontalCentered="1"/>
  <pageMargins left="0.51" right="0.5" top="0.65" bottom="0.51" header="0.35" footer="0.28"/>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D97"/>
  <sheetViews>
    <sheetView view="pageBreakPreview" zoomScaleSheetLayoutView="100" zoomScalePageLayoutView="0" workbookViewId="0" topLeftCell="A1">
      <pane ySplit="6" topLeftCell="A7" activePane="bottomLeft" state="frozen"/>
      <selection pane="topLeft" activeCell="J1" sqref="J1"/>
      <selection pane="bottomLeft" activeCell="O14" sqref="O14"/>
    </sheetView>
  </sheetViews>
  <sheetFormatPr defaultColWidth="9.140625" defaultRowHeight="12.75"/>
  <cols>
    <col min="1" max="1" width="4.00390625" style="556" customWidth="1"/>
    <col min="2" max="2" width="19.28125" style="556" customWidth="1"/>
    <col min="3" max="3" width="9.140625" style="556" customWidth="1"/>
    <col min="4" max="4" width="4.8515625" style="556" customWidth="1"/>
    <col min="5" max="5" width="10.8515625" style="561" customWidth="1"/>
    <col min="6" max="6" width="6.421875" style="556" customWidth="1"/>
    <col min="7" max="7" width="4.28125" style="556" customWidth="1"/>
    <col min="8" max="8" width="8.00390625" style="556" customWidth="1"/>
    <col min="9" max="9" width="9.140625" style="556" customWidth="1"/>
    <col min="10" max="10" width="4.28125" style="556" customWidth="1"/>
    <col min="11" max="11" width="5.140625" style="556" customWidth="1"/>
    <col min="12" max="13" width="6.28125" style="556" customWidth="1"/>
    <col min="14" max="15" width="6.8515625" style="556" customWidth="1"/>
    <col min="16" max="16" width="5.57421875" style="556" customWidth="1"/>
    <col min="17" max="17" width="6.28125" style="556" customWidth="1"/>
    <col min="18" max="18" width="4.28125" style="556" customWidth="1"/>
    <col min="19" max="19" width="6.28125" style="556" customWidth="1"/>
    <col min="20" max="20" width="5.57421875" style="556" customWidth="1"/>
    <col min="21" max="21" width="6.140625" style="556" customWidth="1"/>
    <col min="22" max="22" width="6.7109375" style="556" customWidth="1"/>
    <col min="23" max="23" width="4.57421875" style="556" customWidth="1"/>
    <col min="24" max="24" width="6.28125" style="556" customWidth="1"/>
    <col min="25" max="25" width="6.8515625" style="556" customWidth="1"/>
    <col min="26" max="26" width="8.00390625" style="556" customWidth="1"/>
    <col min="27" max="27" width="7.57421875" style="556" customWidth="1"/>
    <col min="28" max="28" width="9.140625" style="556" customWidth="1"/>
  </cols>
  <sheetData>
    <row r="1" spans="1:28" ht="16.5" thickBot="1">
      <c r="A1" s="1274" t="s">
        <v>436</v>
      </c>
      <c r="B1" s="1274"/>
      <c r="C1" s="1274"/>
      <c r="D1" s="1274"/>
      <c r="E1" s="1274"/>
      <c r="F1" s="1274"/>
      <c r="G1" s="1274"/>
      <c r="H1" s="1274"/>
      <c r="I1" s="1274"/>
      <c r="J1" s="1274"/>
      <c r="K1" s="1274"/>
      <c r="L1" s="1274"/>
      <c r="M1" s="1274"/>
      <c r="N1" s="1274"/>
      <c r="O1" s="1274"/>
      <c r="P1" s="1274"/>
      <c r="Q1" s="1274"/>
      <c r="R1" s="1274"/>
      <c r="S1" s="1274"/>
      <c r="T1" s="1274"/>
      <c r="U1" s="1274"/>
      <c r="V1" s="1274"/>
      <c r="W1" s="1274"/>
      <c r="X1" s="1274"/>
      <c r="Y1" s="1274"/>
      <c r="Z1" s="1274"/>
      <c r="AA1" s="1274"/>
      <c r="AB1" s="637"/>
    </row>
    <row r="2" spans="1:28" ht="12.75">
      <c r="A2" s="638" t="s">
        <v>2747</v>
      </c>
      <c r="B2" s="639"/>
      <c r="C2" s="640"/>
      <c r="D2" s="559"/>
      <c r="E2" s="933" t="s">
        <v>2748</v>
      </c>
      <c r="F2" s="1275" t="s">
        <v>2748</v>
      </c>
      <c r="G2" s="1276"/>
      <c r="H2" s="640" t="s">
        <v>2749</v>
      </c>
      <c r="I2" s="1277" t="s">
        <v>2750</v>
      </c>
      <c r="J2" s="1278"/>
      <c r="K2" s="1278"/>
      <c r="L2" s="1278"/>
      <c r="M2" s="1279"/>
      <c r="N2" s="640" t="s">
        <v>2751</v>
      </c>
      <c r="O2" s="642" t="s">
        <v>2752</v>
      </c>
      <c r="P2" s="1280" t="s">
        <v>2753</v>
      </c>
      <c r="Q2" s="1281"/>
      <c r="R2" s="1280" t="s">
        <v>2754</v>
      </c>
      <c r="S2" s="1281"/>
      <c r="T2" s="1282" t="s">
        <v>2755</v>
      </c>
      <c r="U2" s="1283"/>
      <c r="V2" s="1284"/>
      <c r="W2" s="1282" t="s">
        <v>2756</v>
      </c>
      <c r="X2" s="1283"/>
      <c r="Y2" s="640" t="s">
        <v>2757</v>
      </c>
      <c r="Z2" s="646" t="s">
        <v>2758</v>
      </c>
      <c r="AA2" s="641" t="s">
        <v>2759</v>
      </c>
      <c r="AB2" s="647" t="s">
        <v>2760</v>
      </c>
    </row>
    <row r="3" spans="1:28" ht="12.75">
      <c r="A3" s="638"/>
      <c r="B3" s="646"/>
      <c r="C3" s="641" t="s">
        <v>2761</v>
      </c>
      <c r="D3" s="640" t="s">
        <v>2762</v>
      </c>
      <c r="E3" s="934"/>
      <c r="F3" s="1275"/>
      <c r="G3" s="1276"/>
      <c r="H3" s="640" t="s">
        <v>2244</v>
      </c>
      <c r="I3" s="640" t="s">
        <v>2245</v>
      </c>
      <c r="J3" s="640" t="s">
        <v>2246</v>
      </c>
      <c r="K3" s="640" t="s">
        <v>2247</v>
      </c>
      <c r="L3" s="640" t="s">
        <v>2248</v>
      </c>
      <c r="M3" s="640" t="s">
        <v>2757</v>
      </c>
      <c r="N3" s="648" t="s">
        <v>2249</v>
      </c>
      <c r="O3" s="641"/>
      <c r="P3" s="649" t="s">
        <v>2406</v>
      </c>
      <c r="Q3" s="650" t="s">
        <v>2249</v>
      </c>
      <c r="R3" s="641"/>
      <c r="S3" s="640"/>
      <c r="T3" s="646"/>
      <c r="U3" s="651"/>
      <c r="V3" s="652"/>
      <c r="W3" s="651"/>
      <c r="X3" s="646"/>
      <c r="Y3" s="648" t="s">
        <v>2249</v>
      </c>
      <c r="Z3" s="646" t="s">
        <v>2249</v>
      </c>
      <c r="AA3" s="641" t="s">
        <v>2249</v>
      </c>
      <c r="AB3" s="653" t="s">
        <v>2406</v>
      </c>
    </row>
    <row r="4" spans="1:28" ht="22.5">
      <c r="A4" s="638" t="s">
        <v>2556</v>
      </c>
      <c r="B4" s="654" t="s">
        <v>2250</v>
      </c>
      <c r="C4" s="640" t="s">
        <v>2251</v>
      </c>
      <c r="D4" s="641" t="s">
        <v>2252</v>
      </c>
      <c r="E4" s="935" t="s">
        <v>2253</v>
      </c>
      <c r="F4" s="1283" t="s">
        <v>2254</v>
      </c>
      <c r="G4" s="1284"/>
      <c r="H4" s="655" t="s">
        <v>2255</v>
      </c>
      <c r="I4" s="656"/>
      <c r="J4" s="657"/>
      <c r="K4" s="657" t="s">
        <v>2256</v>
      </c>
      <c r="L4" s="640" t="s">
        <v>2257</v>
      </c>
      <c r="M4" s="640" t="s">
        <v>2258</v>
      </c>
      <c r="N4" s="658" t="s">
        <v>725</v>
      </c>
      <c r="O4" s="659" t="s">
        <v>726</v>
      </c>
      <c r="P4" s="660"/>
      <c r="Q4" s="659" t="s">
        <v>727</v>
      </c>
      <c r="R4" s="641"/>
      <c r="S4" s="640"/>
      <c r="T4" s="641" t="s">
        <v>728</v>
      </c>
      <c r="U4" s="641" t="s">
        <v>729</v>
      </c>
      <c r="V4" s="661" t="s">
        <v>730</v>
      </c>
      <c r="W4" s="641"/>
      <c r="X4" s="641"/>
      <c r="Y4" s="662" t="s">
        <v>731</v>
      </c>
      <c r="Z4" s="644" t="s">
        <v>732</v>
      </c>
      <c r="AA4" s="643" t="s">
        <v>733</v>
      </c>
      <c r="AB4" s="663" t="s">
        <v>734</v>
      </c>
    </row>
    <row r="5" spans="1:28" ht="12.75">
      <c r="A5" s="664"/>
      <c r="B5" s="644"/>
      <c r="C5" s="648"/>
      <c r="D5" s="648"/>
      <c r="E5" s="935" t="s">
        <v>735</v>
      </c>
      <c r="F5" s="648" t="s">
        <v>736</v>
      </c>
      <c r="G5" s="648" t="s">
        <v>1101</v>
      </c>
      <c r="H5" s="655" t="s">
        <v>735</v>
      </c>
      <c r="I5" s="665"/>
      <c r="J5" s="655"/>
      <c r="K5" s="655" t="s">
        <v>735</v>
      </c>
      <c r="L5" s="648" t="s">
        <v>735</v>
      </c>
      <c r="M5" s="648" t="s">
        <v>736</v>
      </c>
      <c r="N5" s="648" t="s">
        <v>1102</v>
      </c>
      <c r="O5" s="643" t="s">
        <v>1103</v>
      </c>
      <c r="P5" s="666" t="s">
        <v>1104</v>
      </c>
      <c r="Q5" s="643"/>
      <c r="R5" s="643" t="s">
        <v>1105</v>
      </c>
      <c r="S5" s="643" t="s">
        <v>1102</v>
      </c>
      <c r="T5" s="667" t="s">
        <v>1106</v>
      </c>
      <c r="U5" s="643" t="s">
        <v>1107</v>
      </c>
      <c r="V5" s="668" t="s">
        <v>1102</v>
      </c>
      <c r="W5" s="648" t="s">
        <v>1108</v>
      </c>
      <c r="X5" s="643" t="s">
        <v>1102</v>
      </c>
      <c r="Y5" s="643" t="s">
        <v>1102</v>
      </c>
      <c r="Z5" s="648" t="s">
        <v>1102</v>
      </c>
      <c r="AA5" s="643" t="s">
        <v>1103</v>
      </c>
      <c r="AB5" s="669" t="s">
        <v>1102</v>
      </c>
    </row>
    <row r="6" spans="1:28" ht="13.5" thickBot="1">
      <c r="A6" s="670" t="s">
        <v>180</v>
      </c>
      <c r="B6" s="671" t="s">
        <v>2768</v>
      </c>
      <c r="C6" s="672" t="s">
        <v>1109</v>
      </c>
      <c r="D6" s="673" t="s">
        <v>1110</v>
      </c>
      <c r="E6" s="936" t="s">
        <v>1111</v>
      </c>
      <c r="F6" s="672" t="s">
        <v>1112</v>
      </c>
      <c r="G6" s="672" t="s">
        <v>1113</v>
      </c>
      <c r="H6" s="671" t="s">
        <v>1114</v>
      </c>
      <c r="I6" s="671" t="s">
        <v>204</v>
      </c>
      <c r="J6" s="674" t="s">
        <v>1115</v>
      </c>
      <c r="K6" s="672" t="s">
        <v>1116</v>
      </c>
      <c r="L6" s="674" t="s">
        <v>1117</v>
      </c>
      <c r="M6" s="674" t="s">
        <v>1118</v>
      </c>
      <c r="N6" s="674" t="s">
        <v>1119</v>
      </c>
      <c r="O6" s="674" t="s">
        <v>1120</v>
      </c>
      <c r="P6" s="675" t="s">
        <v>1121</v>
      </c>
      <c r="Q6" s="674" t="s">
        <v>1122</v>
      </c>
      <c r="R6" s="671" t="s">
        <v>1123</v>
      </c>
      <c r="S6" s="672" t="s">
        <v>1124</v>
      </c>
      <c r="T6" s="671" t="s">
        <v>1125</v>
      </c>
      <c r="U6" s="671" t="s">
        <v>1126</v>
      </c>
      <c r="V6" s="676" t="s">
        <v>2064</v>
      </c>
      <c r="W6" s="677" t="s">
        <v>1127</v>
      </c>
      <c r="X6" s="674" t="s">
        <v>1128</v>
      </c>
      <c r="Y6" s="671" t="s">
        <v>1129</v>
      </c>
      <c r="Z6" s="671" t="s">
        <v>1130</v>
      </c>
      <c r="AA6" s="677" t="s">
        <v>1131</v>
      </c>
      <c r="AB6" s="678" t="s">
        <v>1132</v>
      </c>
    </row>
    <row r="7" spans="1:28" ht="12.75">
      <c r="A7" s="679">
        <v>1</v>
      </c>
      <c r="B7" s="680" t="s">
        <v>1133</v>
      </c>
      <c r="C7" s="681" t="s">
        <v>1134</v>
      </c>
      <c r="D7" s="681">
        <v>200</v>
      </c>
      <c r="E7" s="937">
        <f>'[2]AvePrice'!P6</f>
        <v>539550</v>
      </c>
      <c r="F7" s="682">
        <v>12000</v>
      </c>
      <c r="G7" s="682">
        <v>6</v>
      </c>
      <c r="H7" s="682">
        <f>E7*10/100</f>
        <v>53955</v>
      </c>
      <c r="I7" s="683" t="s">
        <v>1592</v>
      </c>
      <c r="J7" s="684">
        <v>6</v>
      </c>
      <c r="K7" s="684">
        <v>1924.23</v>
      </c>
      <c r="L7" s="684">
        <f>J7*K7</f>
        <v>11545.380000000001</v>
      </c>
      <c r="M7" s="684">
        <v>1500</v>
      </c>
      <c r="N7" s="518">
        <f>(E7-L7-H7)/F7</f>
        <v>39.504135</v>
      </c>
      <c r="O7" s="685">
        <f aca="true" t="shared" si="0" ref="O7:O70">(E7*(((1+0.03)^(F7/2000))-1))/F7</f>
        <v>8.725076382685158</v>
      </c>
      <c r="P7" s="686">
        <v>2.2</v>
      </c>
      <c r="Q7" s="686">
        <f>(E7*P7/100)*G7/F7</f>
        <v>5.93505</v>
      </c>
      <c r="R7" s="687">
        <v>80</v>
      </c>
      <c r="S7" s="686">
        <f>(R7/100)*N7</f>
        <v>31.603308</v>
      </c>
      <c r="T7" s="687">
        <v>0.14</v>
      </c>
      <c r="U7" s="687">
        <f>D7*T7</f>
        <v>28.000000000000004</v>
      </c>
      <c r="V7" s="518">
        <f>U7*I87</f>
        <v>491.4000000000001</v>
      </c>
      <c r="W7" s="687">
        <v>20</v>
      </c>
      <c r="X7" s="686">
        <f>V7*W7/100</f>
        <v>98.28000000000002</v>
      </c>
      <c r="Y7" s="686">
        <f>L7/M7</f>
        <v>7.69692</v>
      </c>
      <c r="Z7" s="686">
        <f>N7+O7+Q7</f>
        <v>54.164261382685154</v>
      </c>
      <c r="AA7" s="686">
        <f>S7+V7+X7+Y7</f>
        <v>628.980228</v>
      </c>
      <c r="AB7" s="688">
        <f aca="true" t="shared" si="1" ref="AB7:AB24">Z7+AA7</f>
        <v>683.1444893826852</v>
      </c>
    </row>
    <row r="8" spans="1:28" ht="12.75">
      <c r="A8" s="689">
        <v>2</v>
      </c>
      <c r="B8" s="519" t="s">
        <v>1593</v>
      </c>
      <c r="C8" s="681" t="s">
        <v>1594</v>
      </c>
      <c r="D8" s="681">
        <v>240</v>
      </c>
      <c r="E8" s="937">
        <f>'[2]AvePrice'!P7</f>
        <v>650710</v>
      </c>
      <c r="F8" s="682">
        <v>12000</v>
      </c>
      <c r="G8" s="682">
        <v>6</v>
      </c>
      <c r="H8" s="682">
        <f>E8*10/100</f>
        <v>65071</v>
      </c>
      <c r="I8" s="683" t="s">
        <v>1592</v>
      </c>
      <c r="J8" s="682">
        <v>10</v>
      </c>
      <c r="K8" s="684">
        <v>1924.23</v>
      </c>
      <c r="L8" s="684">
        <f aca="true" t="shared" si="2" ref="L8:L25">J8*K8</f>
        <v>19242.3</v>
      </c>
      <c r="M8" s="684">
        <v>1500</v>
      </c>
      <c r="N8" s="518">
        <f aca="true" t="shared" si="3" ref="N8:N72">(E8-L8-H8)/F8</f>
        <v>47.199724999999994</v>
      </c>
      <c r="O8" s="508">
        <f t="shared" si="0"/>
        <v>10.522647489532128</v>
      </c>
      <c r="P8" s="518">
        <v>2.2</v>
      </c>
      <c r="Q8" s="686">
        <f aca="true" t="shared" si="4" ref="Q8:Q71">(E8*P8/100)*G8/F8</f>
        <v>7.1578100000000004</v>
      </c>
      <c r="R8" s="519">
        <v>80</v>
      </c>
      <c r="S8" s="686">
        <f aca="true" t="shared" si="5" ref="S8:S24">(R8/100)*N8</f>
        <v>37.75978</v>
      </c>
      <c r="T8" s="519">
        <v>0.14</v>
      </c>
      <c r="U8" s="687">
        <f aca="true" t="shared" si="6" ref="U8:U71">D8*T8</f>
        <v>33.6</v>
      </c>
      <c r="V8" s="518">
        <f>U8*$I$87</f>
        <v>589.6800000000001</v>
      </c>
      <c r="W8" s="519">
        <v>20</v>
      </c>
      <c r="X8" s="686">
        <f>V8*W8/100</f>
        <v>117.93600000000002</v>
      </c>
      <c r="Y8" s="686">
        <f aca="true" t="shared" si="7" ref="Y8:Y28">L8/M8</f>
        <v>12.828199999999999</v>
      </c>
      <c r="Z8" s="686">
        <f aca="true" t="shared" si="8" ref="Z8:Z71">N8+O8+Q8</f>
        <v>64.88018248953212</v>
      </c>
      <c r="AA8" s="518">
        <f aca="true" t="shared" si="9" ref="AA8:AA71">S8+V8+X8+Y8</f>
        <v>758.2039800000001</v>
      </c>
      <c r="AB8" s="690">
        <f t="shared" si="1"/>
        <v>823.0841624895322</v>
      </c>
    </row>
    <row r="9" spans="1:28" s="930" customFormat="1" ht="12.75">
      <c r="A9" s="941">
        <v>3</v>
      </c>
      <c r="B9" s="942" t="s">
        <v>1595</v>
      </c>
      <c r="C9" s="943" t="s">
        <v>1596</v>
      </c>
      <c r="D9" s="943">
        <v>270</v>
      </c>
      <c r="E9" s="940">
        <v>2219400</v>
      </c>
      <c r="F9" s="944">
        <v>12000</v>
      </c>
      <c r="G9" s="944">
        <v>6</v>
      </c>
      <c r="H9" s="945">
        <f aca="true" t="shared" si="10" ref="H9:H72">E9*10/100</f>
        <v>221940</v>
      </c>
      <c r="I9" s="946" t="s">
        <v>1592</v>
      </c>
      <c r="J9" s="944">
        <v>10</v>
      </c>
      <c r="K9" s="947">
        <v>1924.23</v>
      </c>
      <c r="L9" s="947">
        <f t="shared" si="2"/>
        <v>19242.3</v>
      </c>
      <c r="M9" s="947">
        <v>1500</v>
      </c>
      <c r="N9" s="948">
        <f t="shared" si="3"/>
        <v>164.85147500000002</v>
      </c>
      <c r="O9" s="949">
        <f t="shared" si="0"/>
        <v>35.889972243038535</v>
      </c>
      <c r="P9" s="949">
        <v>2.2</v>
      </c>
      <c r="Q9" s="950">
        <f t="shared" si="4"/>
        <v>24.413400000000003</v>
      </c>
      <c r="R9" s="942">
        <v>80</v>
      </c>
      <c r="S9" s="950">
        <f t="shared" si="5"/>
        <v>131.88118000000003</v>
      </c>
      <c r="T9" s="942">
        <v>0.14</v>
      </c>
      <c r="U9" s="951">
        <f t="shared" si="6"/>
        <v>37.800000000000004</v>
      </c>
      <c r="V9" s="948">
        <f aca="true" t="shared" si="11" ref="V9:V72">U9*$I$87</f>
        <v>663.3900000000001</v>
      </c>
      <c r="W9" s="942">
        <v>20</v>
      </c>
      <c r="X9" s="950">
        <f aca="true" t="shared" si="12" ref="X9:X72">V9*W9/100</f>
        <v>132.67800000000003</v>
      </c>
      <c r="Y9" s="950">
        <f t="shared" si="7"/>
        <v>12.828199999999999</v>
      </c>
      <c r="Z9" s="950">
        <f t="shared" si="8"/>
        <v>225.15484724303855</v>
      </c>
      <c r="AA9" s="949">
        <f t="shared" si="9"/>
        <v>940.7773800000002</v>
      </c>
      <c r="AB9" s="952">
        <f t="shared" si="1"/>
        <v>1165.9322272430388</v>
      </c>
    </row>
    <row r="10" spans="1:28" s="930" customFormat="1" ht="12.75">
      <c r="A10" s="941">
        <v>4</v>
      </c>
      <c r="B10" s="942" t="s">
        <v>1595</v>
      </c>
      <c r="C10" s="943" t="s">
        <v>1597</v>
      </c>
      <c r="D10" s="943">
        <v>300</v>
      </c>
      <c r="E10" s="940">
        <v>2335000</v>
      </c>
      <c r="F10" s="944">
        <v>12000</v>
      </c>
      <c r="G10" s="944">
        <v>6</v>
      </c>
      <c r="H10" s="945">
        <f t="shared" si="10"/>
        <v>233500</v>
      </c>
      <c r="I10" s="946" t="s">
        <v>1592</v>
      </c>
      <c r="J10" s="944">
        <v>10</v>
      </c>
      <c r="K10" s="947">
        <v>1924.23</v>
      </c>
      <c r="L10" s="947">
        <f t="shared" si="2"/>
        <v>19242.3</v>
      </c>
      <c r="M10" s="947">
        <v>1500</v>
      </c>
      <c r="N10" s="948">
        <f t="shared" si="3"/>
        <v>173.521475</v>
      </c>
      <c r="O10" s="949">
        <f t="shared" si="0"/>
        <v>37.759342699601234</v>
      </c>
      <c r="P10" s="949">
        <v>2.2</v>
      </c>
      <c r="Q10" s="950">
        <f t="shared" si="4"/>
        <v>25.685</v>
      </c>
      <c r="R10" s="942">
        <v>80</v>
      </c>
      <c r="S10" s="950">
        <f t="shared" si="5"/>
        <v>138.81718</v>
      </c>
      <c r="T10" s="942">
        <v>0.14</v>
      </c>
      <c r="U10" s="951">
        <f t="shared" si="6"/>
        <v>42.00000000000001</v>
      </c>
      <c r="V10" s="948">
        <f t="shared" si="11"/>
        <v>737.1000000000001</v>
      </c>
      <c r="W10" s="942">
        <v>20</v>
      </c>
      <c r="X10" s="950">
        <f t="shared" si="12"/>
        <v>147.42000000000004</v>
      </c>
      <c r="Y10" s="950">
        <f t="shared" si="7"/>
        <v>12.828199999999999</v>
      </c>
      <c r="Z10" s="950">
        <f t="shared" si="8"/>
        <v>236.96581769960125</v>
      </c>
      <c r="AA10" s="949">
        <f t="shared" si="9"/>
        <v>1036.1653800000001</v>
      </c>
      <c r="AB10" s="952">
        <f t="shared" si="1"/>
        <v>1273.1311976996014</v>
      </c>
    </row>
    <row r="11" spans="1:28" ht="12.75">
      <c r="A11" s="691">
        <v>5</v>
      </c>
      <c r="B11" s="507" t="s">
        <v>1598</v>
      </c>
      <c r="C11" s="692" t="s">
        <v>1599</v>
      </c>
      <c r="D11" s="692">
        <v>150</v>
      </c>
      <c r="E11" s="937">
        <f>'[2]AvePrice'!P10</f>
        <v>486570</v>
      </c>
      <c r="F11" s="693">
        <v>12000</v>
      </c>
      <c r="G11" s="693">
        <v>6</v>
      </c>
      <c r="H11" s="682">
        <f t="shared" si="10"/>
        <v>48657</v>
      </c>
      <c r="I11" s="683" t="s">
        <v>1592</v>
      </c>
      <c r="J11" s="693">
        <v>6</v>
      </c>
      <c r="K11" s="684">
        <v>1924.23</v>
      </c>
      <c r="L11" s="684">
        <f t="shared" si="2"/>
        <v>11545.380000000001</v>
      </c>
      <c r="M11" s="693">
        <v>1800</v>
      </c>
      <c r="N11" s="518">
        <f t="shared" si="3"/>
        <v>35.530635</v>
      </c>
      <c r="O11" s="508">
        <f t="shared" si="0"/>
        <v>7.8683354935096235</v>
      </c>
      <c r="P11" s="508">
        <v>2.2</v>
      </c>
      <c r="Q11" s="686">
        <f t="shared" si="4"/>
        <v>5.352270000000001</v>
      </c>
      <c r="R11" s="507">
        <v>80</v>
      </c>
      <c r="S11" s="686">
        <f t="shared" si="5"/>
        <v>28.424508</v>
      </c>
      <c r="T11" s="507">
        <v>0.14</v>
      </c>
      <c r="U11" s="687">
        <f t="shared" si="6"/>
        <v>21.000000000000004</v>
      </c>
      <c r="V11" s="518">
        <f t="shared" si="11"/>
        <v>368.55000000000007</v>
      </c>
      <c r="W11" s="507">
        <v>20</v>
      </c>
      <c r="X11" s="686">
        <f t="shared" si="12"/>
        <v>73.71000000000002</v>
      </c>
      <c r="Y11" s="686">
        <f t="shared" si="7"/>
        <v>6.4141</v>
      </c>
      <c r="Z11" s="686">
        <f t="shared" si="8"/>
        <v>48.75124049350963</v>
      </c>
      <c r="AA11" s="508">
        <f t="shared" si="9"/>
        <v>477.0986080000001</v>
      </c>
      <c r="AB11" s="694">
        <f t="shared" si="1"/>
        <v>525.8498484935097</v>
      </c>
    </row>
    <row r="12" spans="1:28" s="930" customFormat="1" ht="12.75">
      <c r="A12" s="941">
        <v>6</v>
      </c>
      <c r="B12" s="942" t="s">
        <v>1600</v>
      </c>
      <c r="C12" s="953" t="s">
        <v>2910</v>
      </c>
      <c r="D12" s="943">
        <v>240</v>
      </c>
      <c r="E12" s="940">
        <v>3094940</v>
      </c>
      <c r="F12" s="944">
        <v>14000</v>
      </c>
      <c r="G12" s="944">
        <v>7</v>
      </c>
      <c r="H12" s="945">
        <f t="shared" si="10"/>
        <v>309494</v>
      </c>
      <c r="I12" s="946" t="s">
        <v>1592</v>
      </c>
      <c r="J12" s="944">
        <v>10</v>
      </c>
      <c r="K12" s="947">
        <v>1924.23</v>
      </c>
      <c r="L12" s="947">
        <f t="shared" si="2"/>
        <v>19242.3</v>
      </c>
      <c r="M12" s="944">
        <v>1800</v>
      </c>
      <c r="N12" s="948">
        <f t="shared" si="3"/>
        <v>197.5859785714286</v>
      </c>
      <c r="O12" s="949">
        <f t="shared" si="0"/>
        <v>50.817558647003366</v>
      </c>
      <c r="P12" s="949">
        <v>2.2</v>
      </c>
      <c r="Q12" s="950">
        <f t="shared" si="4"/>
        <v>34.044340000000005</v>
      </c>
      <c r="R12" s="942">
        <v>80</v>
      </c>
      <c r="S12" s="950">
        <f t="shared" si="5"/>
        <v>158.06878285714288</v>
      </c>
      <c r="T12" s="942">
        <v>0.14</v>
      </c>
      <c r="U12" s="951">
        <f>D12*T12</f>
        <v>33.6</v>
      </c>
      <c r="V12" s="948">
        <f t="shared" si="11"/>
        <v>589.6800000000001</v>
      </c>
      <c r="W12" s="942">
        <v>20</v>
      </c>
      <c r="X12" s="950">
        <f t="shared" si="12"/>
        <v>117.93600000000002</v>
      </c>
      <c r="Y12" s="950">
        <f>L12/M12</f>
        <v>10.690166666666666</v>
      </c>
      <c r="Z12" s="950">
        <f t="shared" si="8"/>
        <v>282.4478772184319</v>
      </c>
      <c r="AA12" s="949">
        <f t="shared" si="9"/>
        <v>876.3749495238096</v>
      </c>
      <c r="AB12" s="952">
        <f t="shared" si="1"/>
        <v>1158.8228267422414</v>
      </c>
    </row>
    <row r="13" spans="1:28" s="930" customFormat="1" ht="12.75">
      <c r="A13" s="941">
        <v>7</v>
      </c>
      <c r="B13" s="942" t="s">
        <v>1601</v>
      </c>
      <c r="C13" s="953" t="s">
        <v>2910</v>
      </c>
      <c r="D13" s="943">
        <v>240</v>
      </c>
      <c r="E13" s="940">
        <v>3094940</v>
      </c>
      <c r="F13" s="944">
        <v>14000</v>
      </c>
      <c r="G13" s="944">
        <v>7</v>
      </c>
      <c r="H13" s="945">
        <f t="shared" si="10"/>
        <v>309494</v>
      </c>
      <c r="I13" s="946" t="s">
        <v>1592</v>
      </c>
      <c r="J13" s="944">
        <v>10</v>
      </c>
      <c r="K13" s="947">
        <v>1924.23</v>
      </c>
      <c r="L13" s="947">
        <f t="shared" si="2"/>
        <v>19242.3</v>
      </c>
      <c r="M13" s="944">
        <v>1800</v>
      </c>
      <c r="N13" s="948">
        <f t="shared" si="3"/>
        <v>197.5859785714286</v>
      </c>
      <c r="O13" s="949">
        <f t="shared" si="0"/>
        <v>50.817558647003366</v>
      </c>
      <c r="P13" s="949">
        <v>2.9</v>
      </c>
      <c r="Q13" s="950">
        <f t="shared" si="4"/>
        <v>44.87663</v>
      </c>
      <c r="R13" s="942">
        <v>80</v>
      </c>
      <c r="S13" s="950">
        <f t="shared" si="5"/>
        <v>158.06878285714288</v>
      </c>
      <c r="T13" s="942">
        <v>0.14</v>
      </c>
      <c r="U13" s="951">
        <f t="shared" si="6"/>
        <v>33.6</v>
      </c>
      <c r="V13" s="948">
        <f t="shared" si="11"/>
        <v>589.6800000000001</v>
      </c>
      <c r="W13" s="942">
        <v>20</v>
      </c>
      <c r="X13" s="950">
        <f t="shared" si="12"/>
        <v>117.93600000000002</v>
      </c>
      <c r="Y13" s="950">
        <f t="shared" si="7"/>
        <v>10.690166666666666</v>
      </c>
      <c r="Z13" s="950">
        <f t="shared" si="8"/>
        <v>293.2801672184319</v>
      </c>
      <c r="AA13" s="949">
        <f t="shared" si="9"/>
        <v>876.3749495238096</v>
      </c>
      <c r="AB13" s="952">
        <f t="shared" si="1"/>
        <v>1169.6551167422415</v>
      </c>
    </row>
    <row r="14" spans="1:28" ht="12.75">
      <c r="A14" s="691">
        <v>8</v>
      </c>
      <c r="B14" s="507" t="s">
        <v>1602</v>
      </c>
      <c r="C14" s="692" t="s">
        <v>1603</v>
      </c>
      <c r="D14" s="692">
        <v>240</v>
      </c>
      <c r="E14" s="937">
        <f>'[2]AvePrice'!P13</f>
        <v>367889.87413793104</v>
      </c>
      <c r="F14" s="693">
        <v>14000</v>
      </c>
      <c r="G14" s="693">
        <v>7</v>
      </c>
      <c r="H14" s="682">
        <f t="shared" si="10"/>
        <v>36788.987413793104</v>
      </c>
      <c r="I14" s="683" t="s">
        <v>1592</v>
      </c>
      <c r="J14" s="693">
        <v>10</v>
      </c>
      <c r="K14" s="684">
        <v>1924.23</v>
      </c>
      <c r="L14" s="684">
        <f t="shared" si="2"/>
        <v>19242.3</v>
      </c>
      <c r="M14" s="693">
        <v>1800</v>
      </c>
      <c r="N14" s="518">
        <f t="shared" si="3"/>
        <v>22.275613337438426</v>
      </c>
      <c r="O14" s="508">
        <f t="shared" si="0"/>
        <v>6.040590529911079</v>
      </c>
      <c r="P14" s="508">
        <v>2.2</v>
      </c>
      <c r="Q14" s="686">
        <f t="shared" si="4"/>
        <v>4.046788615517242</v>
      </c>
      <c r="R14" s="507">
        <v>80</v>
      </c>
      <c r="S14" s="686">
        <f t="shared" si="5"/>
        <v>17.82049066995074</v>
      </c>
      <c r="T14" s="507">
        <v>0.14</v>
      </c>
      <c r="U14" s="687">
        <f t="shared" si="6"/>
        <v>33.6</v>
      </c>
      <c r="V14" s="518">
        <f t="shared" si="11"/>
        <v>589.6800000000001</v>
      </c>
      <c r="W14" s="507">
        <v>20</v>
      </c>
      <c r="X14" s="686">
        <f t="shared" si="12"/>
        <v>117.93600000000002</v>
      </c>
      <c r="Y14" s="686">
        <f t="shared" si="7"/>
        <v>10.690166666666666</v>
      </c>
      <c r="Z14" s="686">
        <f t="shared" si="8"/>
        <v>32.362992482866744</v>
      </c>
      <c r="AA14" s="508">
        <f t="shared" si="9"/>
        <v>736.1266573366174</v>
      </c>
      <c r="AB14" s="694">
        <f t="shared" si="1"/>
        <v>768.4896498194842</v>
      </c>
    </row>
    <row r="15" spans="1:28" ht="12.75">
      <c r="A15" s="691">
        <v>9</v>
      </c>
      <c r="B15" s="507" t="s">
        <v>2904</v>
      </c>
      <c r="C15" s="695" t="s">
        <v>2905</v>
      </c>
      <c r="D15" s="692">
        <v>240</v>
      </c>
      <c r="E15" s="937">
        <f>'[2]AvePrice'!P14</f>
        <v>637650</v>
      </c>
      <c r="F15" s="693">
        <v>14000</v>
      </c>
      <c r="G15" s="693">
        <v>7</v>
      </c>
      <c r="H15" s="682">
        <f t="shared" si="10"/>
        <v>63765</v>
      </c>
      <c r="I15" s="696" t="s">
        <v>2906</v>
      </c>
      <c r="J15" s="693">
        <v>6</v>
      </c>
      <c r="K15" s="693">
        <v>1350</v>
      </c>
      <c r="L15" s="684">
        <f t="shared" si="2"/>
        <v>8100</v>
      </c>
      <c r="M15" s="693">
        <v>1800</v>
      </c>
      <c r="N15" s="518">
        <f t="shared" si="3"/>
        <v>40.41321428571428</v>
      </c>
      <c r="O15" s="508">
        <f t="shared" si="0"/>
        <v>10.469933592012024</v>
      </c>
      <c r="P15" s="508">
        <v>2.2</v>
      </c>
      <c r="Q15" s="686">
        <f t="shared" si="4"/>
        <v>7.014149999999999</v>
      </c>
      <c r="R15" s="507">
        <v>80</v>
      </c>
      <c r="S15" s="686">
        <f t="shared" si="5"/>
        <v>32.330571428571425</v>
      </c>
      <c r="T15" s="507">
        <v>0.14</v>
      </c>
      <c r="U15" s="687">
        <f t="shared" si="6"/>
        <v>33.6</v>
      </c>
      <c r="V15" s="518">
        <f t="shared" si="11"/>
        <v>589.6800000000001</v>
      </c>
      <c r="W15" s="507">
        <v>20</v>
      </c>
      <c r="X15" s="686">
        <f t="shared" si="12"/>
        <v>117.93600000000002</v>
      </c>
      <c r="Y15" s="686">
        <f t="shared" si="7"/>
        <v>4.5</v>
      </c>
      <c r="Z15" s="686">
        <f t="shared" si="8"/>
        <v>57.89729787772631</v>
      </c>
      <c r="AA15" s="508">
        <f t="shared" si="9"/>
        <v>744.4465714285715</v>
      </c>
      <c r="AB15" s="694">
        <f t="shared" si="1"/>
        <v>802.3438693062977</v>
      </c>
    </row>
    <row r="16" spans="1:28" ht="12.75">
      <c r="A16" s="691">
        <v>10</v>
      </c>
      <c r="B16" s="507" t="s">
        <v>2907</v>
      </c>
      <c r="C16" s="692" t="s">
        <v>2908</v>
      </c>
      <c r="D16" s="692">
        <v>0</v>
      </c>
      <c r="E16" s="937">
        <f>'[2]AvePrice'!P15</f>
        <v>321000</v>
      </c>
      <c r="F16" s="693">
        <v>17000</v>
      </c>
      <c r="G16" s="697">
        <v>8.5</v>
      </c>
      <c r="H16" s="682">
        <f t="shared" si="10"/>
        <v>32100</v>
      </c>
      <c r="I16" s="683" t="s">
        <v>1592</v>
      </c>
      <c r="J16" s="693">
        <v>8</v>
      </c>
      <c r="K16" s="684">
        <v>1924.23</v>
      </c>
      <c r="L16" s="684">
        <f t="shared" si="2"/>
        <v>15393.84</v>
      </c>
      <c r="M16" s="693">
        <v>2200</v>
      </c>
      <c r="N16" s="518">
        <f t="shared" si="3"/>
        <v>16.088597647058823</v>
      </c>
      <c r="O16" s="508">
        <f t="shared" si="0"/>
        <v>5.393389495551852</v>
      </c>
      <c r="P16" s="508">
        <v>2.2</v>
      </c>
      <c r="Q16" s="686">
        <f t="shared" si="4"/>
        <v>3.531</v>
      </c>
      <c r="R16" s="698">
        <v>50</v>
      </c>
      <c r="S16" s="686">
        <f t="shared" si="5"/>
        <v>8.044298823529411</v>
      </c>
      <c r="T16" s="507">
        <v>0</v>
      </c>
      <c r="U16" s="687">
        <f t="shared" si="6"/>
        <v>0</v>
      </c>
      <c r="V16" s="518">
        <f t="shared" si="11"/>
        <v>0</v>
      </c>
      <c r="W16" s="699">
        <v>25</v>
      </c>
      <c r="X16" s="686">
        <f t="shared" si="12"/>
        <v>0</v>
      </c>
      <c r="Y16" s="686">
        <f t="shared" si="7"/>
        <v>6.9972</v>
      </c>
      <c r="Z16" s="686">
        <f t="shared" si="8"/>
        <v>25.012987142610672</v>
      </c>
      <c r="AA16" s="508">
        <f>S16+X16+Y16</f>
        <v>15.041498823529412</v>
      </c>
      <c r="AB16" s="694">
        <f t="shared" si="1"/>
        <v>40.054485966140085</v>
      </c>
    </row>
    <row r="17" spans="1:28" ht="12.75">
      <c r="A17" s="691">
        <v>11</v>
      </c>
      <c r="B17" s="507" t="s">
        <v>2909</v>
      </c>
      <c r="C17" s="695" t="s">
        <v>2910</v>
      </c>
      <c r="D17" s="692">
        <v>0</v>
      </c>
      <c r="E17" s="937">
        <f>'[2]AvePrice'!P16</f>
        <v>337396</v>
      </c>
      <c r="F17" s="693">
        <v>17000</v>
      </c>
      <c r="G17" s="697">
        <v>8.5</v>
      </c>
      <c r="H17" s="682">
        <f t="shared" si="10"/>
        <v>33739.6</v>
      </c>
      <c r="I17" s="683" t="s">
        <v>1592</v>
      </c>
      <c r="J17" s="693">
        <v>8</v>
      </c>
      <c r="K17" s="684">
        <v>1924.23</v>
      </c>
      <c r="L17" s="684">
        <f t="shared" si="2"/>
        <v>15393.84</v>
      </c>
      <c r="M17" s="693">
        <v>2200</v>
      </c>
      <c r="N17" s="518">
        <f t="shared" si="3"/>
        <v>16.956621176470588</v>
      </c>
      <c r="O17" s="508">
        <f t="shared" si="0"/>
        <v>5.668872405735866</v>
      </c>
      <c r="P17" s="508">
        <v>2.2</v>
      </c>
      <c r="Q17" s="686">
        <f t="shared" si="4"/>
        <v>3.7113560000000003</v>
      </c>
      <c r="R17" s="698">
        <v>50</v>
      </c>
      <c r="S17" s="686">
        <f>(R17/100)*N17</f>
        <v>8.478310588235294</v>
      </c>
      <c r="T17" s="507">
        <v>0</v>
      </c>
      <c r="U17" s="687">
        <f>D17*T17</f>
        <v>0</v>
      </c>
      <c r="V17" s="518">
        <f t="shared" si="11"/>
        <v>0</v>
      </c>
      <c r="W17" s="699">
        <v>25</v>
      </c>
      <c r="X17" s="686">
        <f t="shared" si="12"/>
        <v>0</v>
      </c>
      <c r="Y17" s="686">
        <f>L17/M17</f>
        <v>6.9972</v>
      </c>
      <c r="Z17" s="686">
        <f t="shared" si="8"/>
        <v>26.336849582206455</v>
      </c>
      <c r="AA17" s="508">
        <f>S17+X17+Y17</f>
        <v>15.475510588235295</v>
      </c>
      <c r="AB17" s="694">
        <f t="shared" si="1"/>
        <v>41.81236017044175</v>
      </c>
    </row>
    <row r="18" spans="1:28" ht="12.75">
      <c r="A18" s="691">
        <v>12</v>
      </c>
      <c r="B18" s="507" t="s">
        <v>2911</v>
      </c>
      <c r="C18" s="695" t="s">
        <v>2910</v>
      </c>
      <c r="D18" s="692">
        <v>0</v>
      </c>
      <c r="E18" s="937">
        <f>'[2]AvePrice'!P17</f>
        <v>362190</v>
      </c>
      <c r="F18" s="693">
        <v>17000</v>
      </c>
      <c r="G18" s="697">
        <v>8.5</v>
      </c>
      <c r="H18" s="682">
        <f t="shared" si="10"/>
        <v>36219</v>
      </c>
      <c r="I18" s="683" t="s">
        <v>1592</v>
      </c>
      <c r="J18" s="693">
        <v>8</v>
      </c>
      <c r="K18" s="684">
        <v>1924.23</v>
      </c>
      <c r="L18" s="684">
        <f>J18*K18</f>
        <v>15393.84</v>
      </c>
      <c r="M18" s="693">
        <v>2200</v>
      </c>
      <c r="N18" s="518">
        <f t="shared" si="3"/>
        <v>18.26924470588235</v>
      </c>
      <c r="O18" s="508">
        <f t="shared" si="0"/>
        <v>6.085457138298834</v>
      </c>
      <c r="P18" s="508">
        <v>2.2</v>
      </c>
      <c r="Q18" s="686">
        <f t="shared" si="4"/>
        <v>3.9840900000000006</v>
      </c>
      <c r="R18" s="698">
        <v>50</v>
      </c>
      <c r="S18" s="686">
        <f t="shared" si="5"/>
        <v>9.134622352941175</v>
      </c>
      <c r="T18" s="507">
        <v>0</v>
      </c>
      <c r="U18" s="687">
        <f t="shared" si="6"/>
        <v>0</v>
      </c>
      <c r="V18" s="518">
        <f t="shared" si="11"/>
        <v>0</v>
      </c>
      <c r="W18" s="507">
        <v>25</v>
      </c>
      <c r="X18" s="686">
        <f t="shared" si="12"/>
        <v>0</v>
      </c>
      <c r="Y18" s="686">
        <f t="shared" si="7"/>
        <v>6.9972</v>
      </c>
      <c r="Z18" s="686">
        <f t="shared" si="8"/>
        <v>28.338791844181188</v>
      </c>
      <c r="AA18" s="508">
        <f>S18+X18+Y18</f>
        <v>16.131822352941175</v>
      </c>
      <c r="AB18" s="694">
        <f t="shared" si="1"/>
        <v>44.47061419712236</v>
      </c>
    </row>
    <row r="19" spans="1:28" s="930" customFormat="1" ht="12.75">
      <c r="A19" s="941">
        <v>13</v>
      </c>
      <c r="B19" s="942" t="s">
        <v>2912</v>
      </c>
      <c r="C19" s="954" t="s">
        <v>2913</v>
      </c>
      <c r="D19" s="943">
        <v>150</v>
      </c>
      <c r="E19" s="940">
        <f>487085*2.76</f>
        <v>1344354.5999999999</v>
      </c>
      <c r="F19" s="944">
        <v>14000</v>
      </c>
      <c r="G19" s="944">
        <v>7</v>
      </c>
      <c r="H19" s="945">
        <f t="shared" si="10"/>
        <v>134435.46</v>
      </c>
      <c r="I19" s="946" t="s">
        <v>1592</v>
      </c>
      <c r="J19" s="944">
        <v>6</v>
      </c>
      <c r="K19" s="947">
        <v>1924.23</v>
      </c>
      <c r="L19" s="947">
        <f t="shared" si="2"/>
        <v>11545.380000000001</v>
      </c>
      <c r="M19" s="944">
        <v>2100</v>
      </c>
      <c r="N19" s="948">
        <f t="shared" si="3"/>
        <v>85.59812571428571</v>
      </c>
      <c r="O19" s="949">
        <f t="shared" si="0"/>
        <v>22.073713457407493</v>
      </c>
      <c r="P19" s="949">
        <v>2.2</v>
      </c>
      <c r="Q19" s="950">
        <f t="shared" si="4"/>
        <v>14.787900600000002</v>
      </c>
      <c r="R19" s="955">
        <v>80</v>
      </c>
      <c r="S19" s="950">
        <f t="shared" si="5"/>
        <v>68.47850057142857</v>
      </c>
      <c r="T19" s="942">
        <v>0.14</v>
      </c>
      <c r="U19" s="951">
        <f t="shared" si="6"/>
        <v>21.000000000000004</v>
      </c>
      <c r="V19" s="948">
        <f t="shared" si="11"/>
        <v>368.55000000000007</v>
      </c>
      <c r="W19" s="942">
        <v>20</v>
      </c>
      <c r="X19" s="950">
        <f t="shared" si="12"/>
        <v>73.71000000000002</v>
      </c>
      <c r="Y19" s="950">
        <f t="shared" si="7"/>
        <v>5.497800000000001</v>
      </c>
      <c r="Z19" s="950">
        <f t="shared" si="8"/>
        <v>122.45973977169321</v>
      </c>
      <c r="AA19" s="949">
        <f t="shared" si="9"/>
        <v>516.2363005714287</v>
      </c>
      <c r="AB19" s="952">
        <f t="shared" si="1"/>
        <v>638.6960403431219</v>
      </c>
    </row>
    <row r="20" spans="1:28" s="438" customFormat="1" ht="12.75">
      <c r="A20" s="856">
        <v>14</v>
      </c>
      <c r="B20" s="420" t="s">
        <v>2912</v>
      </c>
      <c r="C20" s="864" t="s">
        <v>2914</v>
      </c>
      <c r="D20" s="453">
        <v>240</v>
      </c>
      <c r="E20" s="938">
        <v>1566585.39</v>
      </c>
      <c r="F20" s="857">
        <v>15000</v>
      </c>
      <c r="G20" s="865">
        <v>7.5</v>
      </c>
      <c r="H20" s="858">
        <f t="shared" si="10"/>
        <v>156658.539</v>
      </c>
      <c r="I20" s="860" t="s">
        <v>1592</v>
      </c>
      <c r="J20" s="857">
        <v>6</v>
      </c>
      <c r="K20" s="861">
        <v>1924.23</v>
      </c>
      <c r="L20" s="861">
        <f t="shared" si="2"/>
        <v>11545.380000000001</v>
      </c>
      <c r="M20" s="857">
        <v>2100</v>
      </c>
      <c r="N20" s="540">
        <f t="shared" si="3"/>
        <v>93.22543139999999</v>
      </c>
      <c r="O20" s="416">
        <f t="shared" si="0"/>
        <v>25.920267542083685</v>
      </c>
      <c r="P20" s="416">
        <v>2.2</v>
      </c>
      <c r="Q20" s="862">
        <f t="shared" si="4"/>
        <v>17.23243929</v>
      </c>
      <c r="R20" s="420">
        <v>80</v>
      </c>
      <c r="S20" s="862">
        <f t="shared" si="5"/>
        <v>74.58034511999999</v>
      </c>
      <c r="T20" s="420">
        <v>0.14</v>
      </c>
      <c r="U20" s="493">
        <f t="shared" si="6"/>
        <v>33.6</v>
      </c>
      <c r="V20" s="540">
        <f t="shared" si="11"/>
        <v>589.6800000000001</v>
      </c>
      <c r="W20" s="420">
        <v>20</v>
      </c>
      <c r="X20" s="862">
        <f t="shared" si="12"/>
        <v>117.93600000000002</v>
      </c>
      <c r="Y20" s="862">
        <f t="shared" si="7"/>
        <v>5.497800000000001</v>
      </c>
      <c r="Z20" s="862">
        <f t="shared" si="8"/>
        <v>136.37813823208367</v>
      </c>
      <c r="AA20" s="416">
        <f t="shared" si="9"/>
        <v>787.69414512</v>
      </c>
      <c r="AB20" s="863">
        <f t="shared" si="1"/>
        <v>924.0722833520837</v>
      </c>
    </row>
    <row r="21" spans="1:28" s="438" customFormat="1" ht="12.75">
      <c r="A21" s="856">
        <v>15</v>
      </c>
      <c r="B21" s="420" t="s">
        <v>2915</v>
      </c>
      <c r="C21" s="453" t="s">
        <v>3216</v>
      </c>
      <c r="D21" s="453">
        <v>190</v>
      </c>
      <c r="E21" s="938">
        <v>6509802.69</v>
      </c>
      <c r="F21" s="857">
        <v>14000</v>
      </c>
      <c r="G21" s="857">
        <v>7</v>
      </c>
      <c r="H21" s="858">
        <f t="shared" si="10"/>
        <v>650980.2690000001</v>
      </c>
      <c r="I21" s="860" t="s">
        <v>1592</v>
      </c>
      <c r="J21" s="857">
        <v>10</v>
      </c>
      <c r="K21" s="861">
        <v>1924.23</v>
      </c>
      <c r="L21" s="861">
        <f t="shared" si="2"/>
        <v>19242.3</v>
      </c>
      <c r="M21" s="857">
        <v>2000</v>
      </c>
      <c r="N21" s="540">
        <f t="shared" si="3"/>
        <v>417.1128657857143</v>
      </c>
      <c r="O21" s="416">
        <f t="shared" si="0"/>
        <v>106.88810767882262</v>
      </c>
      <c r="P21" s="416">
        <v>2.2</v>
      </c>
      <c r="Q21" s="862">
        <f t="shared" si="4"/>
        <v>71.60782959000001</v>
      </c>
      <c r="R21" s="420">
        <v>50</v>
      </c>
      <c r="S21" s="862">
        <f t="shared" si="5"/>
        <v>208.55643289285715</v>
      </c>
      <c r="T21" s="420">
        <v>0.9</v>
      </c>
      <c r="U21" s="493">
        <f t="shared" si="6"/>
        <v>171</v>
      </c>
      <c r="V21" s="540">
        <f t="shared" si="11"/>
        <v>3001.05</v>
      </c>
      <c r="W21" s="420">
        <v>20</v>
      </c>
      <c r="X21" s="862">
        <f t="shared" si="12"/>
        <v>600.21</v>
      </c>
      <c r="Y21" s="862">
        <f t="shared" si="7"/>
        <v>9.62115</v>
      </c>
      <c r="Z21" s="862">
        <f t="shared" si="8"/>
        <v>595.6088030545369</v>
      </c>
      <c r="AA21" s="416">
        <f t="shared" si="9"/>
        <v>3819.4375828928573</v>
      </c>
      <c r="AB21" s="863">
        <f t="shared" si="1"/>
        <v>4415.046385947394</v>
      </c>
    </row>
    <row r="22" spans="1:28" ht="12.75">
      <c r="A22" s="691">
        <v>16</v>
      </c>
      <c r="B22" s="507" t="s">
        <v>2915</v>
      </c>
      <c r="C22" s="692" t="s">
        <v>2916</v>
      </c>
      <c r="D22" s="692">
        <v>250</v>
      </c>
      <c r="E22" s="937">
        <f>'[2]AvePrice'!P21</f>
        <v>4056500</v>
      </c>
      <c r="F22" s="693">
        <v>15000</v>
      </c>
      <c r="G22" s="697">
        <v>7.5</v>
      </c>
      <c r="H22" s="682">
        <f t="shared" si="10"/>
        <v>405650</v>
      </c>
      <c r="I22" s="683" t="s">
        <v>1592</v>
      </c>
      <c r="J22" s="693">
        <v>14</v>
      </c>
      <c r="K22" s="684">
        <v>1924.23</v>
      </c>
      <c r="L22" s="684">
        <f t="shared" si="2"/>
        <v>26939.22</v>
      </c>
      <c r="M22" s="693">
        <v>2000</v>
      </c>
      <c r="N22" s="518">
        <f t="shared" si="3"/>
        <v>241.59405199999998</v>
      </c>
      <c r="O22" s="508">
        <f t="shared" si="0"/>
        <v>67.11767258627535</v>
      </c>
      <c r="P22" s="508">
        <v>2.2</v>
      </c>
      <c r="Q22" s="686">
        <f t="shared" si="4"/>
        <v>44.6215</v>
      </c>
      <c r="R22" s="507">
        <v>50</v>
      </c>
      <c r="S22" s="686">
        <f t="shared" si="5"/>
        <v>120.79702599999999</v>
      </c>
      <c r="T22" s="507">
        <v>0.9</v>
      </c>
      <c r="U22" s="687">
        <f>D22*T22</f>
        <v>225</v>
      </c>
      <c r="V22" s="518">
        <f t="shared" si="11"/>
        <v>3948.75</v>
      </c>
      <c r="W22" s="507">
        <v>20</v>
      </c>
      <c r="X22" s="686">
        <f t="shared" si="12"/>
        <v>789.75</v>
      </c>
      <c r="Y22" s="686">
        <f>L22/M22</f>
        <v>13.469610000000001</v>
      </c>
      <c r="Z22" s="686">
        <f t="shared" si="8"/>
        <v>353.33322458627526</v>
      </c>
      <c r="AA22" s="508">
        <f t="shared" si="9"/>
        <v>4872.766636</v>
      </c>
      <c r="AB22" s="694">
        <f t="shared" si="1"/>
        <v>5226.099860586275</v>
      </c>
    </row>
    <row r="23" spans="1:28" ht="12.75">
      <c r="A23" s="691">
        <v>17</v>
      </c>
      <c r="B23" s="507" t="s">
        <v>2917</v>
      </c>
      <c r="C23" s="692" t="s">
        <v>1293</v>
      </c>
      <c r="D23" s="692">
        <v>200</v>
      </c>
      <c r="E23" s="937">
        <f>'[2]AvePrice'!P22</f>
        <v>1076316.6666666667</v>
      </c>
      <c r="F23" s="693">
        <v>14000</v>
      </c>
      <c r="G23" s="693">
        <v>7</v>
      </c>
      <c r="H23" s="682">
        <f t="shared" si="10"/>
        <v>107631.66666666669</v>
      </c>
      <c r="I23" s="683" t="s">
        <v>1592</v>
      </c>
      <c r="J23" s="693">
        <v>6</v>
      </c>
      <c r="K23" s="684">
        <v>1924.23</v>
      </c>
      <c r="L23" s="684">
        <f t="shared" si="2"/>
        <v>11545.380000000001</v>
      </c>
      <c r="M23" s="693">
        <v>2200</v>
      </c>
      <c r="N23" s="518">
        <f t="shared" si="3"/>
        <v>68.36711571428572</v>
      </c>
      <c r="O23" s="508">
        <f t="shared" si="0"/>
        <v>17.672648041991287</v>
      </c>
      <c r="P23" s="508">
        <v>2.2</v>
      </c>
      <c r="Q23" s="686">
        <f t="shared" si="4"/>
        <v>11.839483333333336</v>
      </c>
      <c r="R23" s="698">
        <v>80</v>
      </c>
      <c r="S23" s="686">
        <f t="shared" si="5"/>
        <v>54.69369257142858</v>
      </c>
      <c r="T23" s="507">
        <v>0.14</v>
      </c>
      <c r="U23" s="687">
        <f t="shared" si="6"/>
        <v>28.000000000000004</v>
      </c>
      <c r="V23" s="518">
        <f t="shared" si="11"/>
        <v>491.4000000000001</v>
      </c>
      <c r="W23" s="507">
        <v>25</v>
      </c>
      <c r="X23" s="686">
        <f t="shared" si="12"/>
        <v>122.85000000000002</v>
      </c>
      <c r="Y23" s="686">
        <f t="shared" si="7"/>
        <v>5.2479000000000005</v>
      </c>
      <c r="Z23" s="686">
        <f t="shared" si="8"/>
        <v>97.87924708961035</v>
      </c>
      <c r="AA23" s="508">
        <f t="shared" si="9"/>
        <v>674.1915925714286</v>
      </c>
      <c r="AB23" s="694">
        <f t="shared" si="1"/>
        <v>772.0708396610389</v>
      </c>
    </row>
    <row r="24" spans="1:28" ht="12.75">
      <c r="A24" s="691">
        <v>18</v>
      </c>
      <c r="B24" s="507" t="s">
        <v>1294</v>
      </c>
      <c r="C24" s="692" t="s">
        <v>1295</v>
      </c>
      <c r="D24" s="692">
        <v>80</v>
      </c>
      <c r="E24" s="937">
        <f>'[2]AvePrice'!P23</f>
        <v>232530</v>
      </c>
      <c r="F24" s="693">
        <v>10000</v>
      </c>
      <c r="G24" s="693">
        <v>4</v>
      </c>
      <c r="H24" s="682">
        <f t="shared" si="10"/>
        <v>23253</v>
      </c>
      <c r="I24" s="700" t="s">
        <v>1296</v>
      </c>
      <c r="J24" s="693">
        <v>4</v>
      </c>
      <c r="K24" s="701" t="s">
        <v>1297</v>
      </c>
      <c r="L24" s="684">
        <v>12200</v>
      </c>
      <c r="M24" s="693">
        <v>2300</v>
      </c>
      <c r="N24" s="518">
        <f t="shared" si="3"/>
        <v>19.7077</v>
      </c>
      <c r="O24" s="508">
        <f t="shared" si="0"/>
        <v>3.7036000496978967</v>
      </c>
      <c r="P24" s="508">
        <v>2.2</v>
      </c>
      <c r="Q24" s="686">
        <f t="shared" si="4"/>
        <v>2.0462640000000003</v>
      </c>
      <c r="R24" s="507">
        <v>60</v>
      </c>
      <c r="S24" s="686">
        <f t="shared" si="5"/>
        <v>11.82462</v>
      </c>
      <c r="T24" s="507">
        <v>0.15</v>
      </c>
      <c r="U24" s="687">
        <f t="shared" si="6"/>
        <v>12</v>
      </c>
      <c r="V24" s="518">
        <f t="shared" si="11"/>
        <v>210.60000000000002</v>
      </c>
      <c r="W24" s="507">
        <v>30</v>
      </c>
      <c r="X24" s="686">
        <f t="shared" si="12"/>
        <v>63.18000000000001</v>
      </c>
      <c r="Y24" s="686">
        <f t="shared" si="7"/>
        <v>5.304347826086956</v>
      </c>
      <c r="Z24" s="686">
        <f t="shared" si="8"/>
        <v>25.457564049697897</v>
      </c>
      <c r="AA24" s="508">
        <f t="shared" si="9"/>
        <v>290.908967826087</v>
      </c>
      <c r="AB24" s="694">
        <f t="shared" si="1"/>
        <v>316.3665318757849</v>
      </c>
    </row>
    <row r="25" spans="1:28" ht="12.75">
      <c r="A25" s="691">
        <v>19</v>
      </c>
      <c r="B25" s="507" t="s">
        <v>1298</v>
      </c>
      <c r="C25" s="692" t="s">
        <v>1299</v>
      </c>
      <c r="D25" s="692">
        <v>100</v>
      </c>
      <c r="E25" s="937">
        <f>'[2]AvePrice'!P24</f>
        <v>543560</v>
      </c>
      <c r="F25" s="693">
        <v>12000</v>
      </c>
      <c r="G25" s="693">
        <v>6</v>
      </c>
      <c r="H25" s="682">
        <f t="shared" si="10"/>
        <v>54356</v>
      </c>
      <c r="I25" s="696" t="s">
        <v>2906</v>
      </c>
      <c r="J25" s="693">
        <v>4</v>
      </c>
      <c r="K25" s="693">
        <v>1350</v>
      </c>
      <c r="L25" s="684">
        <f t="shared" si="2"/>
        <v>5400</v>
      </c>
      <c r="M25" s="693">
        <v>2500</v>
      </c>
      <c r="N25" s="518">
        <f t="shared" si="3"/>
        <v>40.317</v>
      </c>
      <c r="O25" s="508">
        <f t="shared" si="0"/>
        <v>8.789922191775265</v>
      </c>
      <c r="P25" s="508">
        <v>2.2</v>
      </c>
      <c r="Q25" s="686">
        <f>(E25*P25/100)*G25/F25</f>
        <v>5.97916</v>
      </c>
      <c r="R25" s="507">
        <v>80</v>
      </c>
      <c r="S25" s="686">
        <f>(R25/100)*N25</f>
        <v>32.2536</v>
      </c>
      <c r="T25" s="507">
        <v>0.14</v>
      </c>
      <c r="U25" s="687">
        <f t="shared" si="6"/>
        <v>14.000000000000002</v>
      </c>
      <c r="V25" s="518">
        <f t="shared" si="11"/>
        <v>245.70000000000005</v>
      </c>
      <c r="W25" s="507">
        <v>20</v>
      </c>
      <c r="X25" s="686">
        <f t="shared" si="12"/>
        <v>49.14000000000001</v>
      </c>
      <c r="Y25" s="686">
        <f t="shared" si="7"/>
        <v>2.16</v>
      </c>
      <c r="Z25" s="686">
        <f t="shared" si="8"/>
        <v>55.08608219177527</v>
      </c>
      <c r="AA25" s="508">
        <f t="shared" si="9"/>
        <v>329.25360000000006</v>
      </c>
      <c r="AB25" s="694">
        <f>Z25+AA25</f>
        <v>384.33968219177535</v>
      </c>
    </row>
    <row r="26" spans="1:28" ht="12.75">
      <c r="A26" s="691">
        <v>20</v>
      </c>
      <c r="B26" s="507" t="s">
        <v>1300</v>
      </c>
      <c r="C26" s="692"/>
      <c r="D26" s="692"/>
      <c r="E26" s="937"/>
      <c r="F26" s="693"/>
      <c r="G26" s="693"/>
      <c r="H26" s="682"/>
      <c r="I26" s="696"/>
      <c r="J26" s="693"/>
      <c r="K26" s="693"/>
      <c r="L26" s="684"/>
      <c r="M26" s="693"/>
      <c r="N26" s="518"/>
      <c r="O26" s="508"/>
      <c r="P26" s="702"/>
      <c r="Q26" s="686"/>
      <c r="R26" s="507"/>
      <c r="S26" s="686"/>
      <c r="T26" s="507"/>
      <c r="U26" s="687"/>
      <c r="V26" s="518">
        <f t="shared" si="11"/>
        <v>0</v>
      </c>
      <c r="W26" s="507"/>
      <c r="X26" s="686">
        <f t="shared" si="12"/>
        <v>0</v>
      </c>
      <c r="Y26" s="508"/>
      <c r="Z26" s="686">
        <f t="shared" si="8"/>
        <v>0</v>
      </c>
      <c r="AA26" s="508"/>
      <c r="AB26" s="694"/>
    </row>
    <row r="27" spans="1:28" ht="12.75">
      <c r="A27" s="691"/>
      <c r="B27" s="507" t="s">
        <v>1301</v>
      </c>
      <c r="C27" s="695" t="s">
        <v>1302</v>
      </c>
      <c r="D27" s="692">
        <v>300</v>
      </c>
      <c r="E27" s="937">
        <f>'[2]AvePrice'!P26</f>
        <v>975083.3333333334</v>
      </c>
      <c r="F27" s="693">
        <v>12000</v>
      </c>
      <c r="G27" s="693">
        <v>6</v>
      </c>
      <c r="H27" s="682">
        <f t="shared" si="10"/>
        <v>97508.33333333334</v>
      </c>
      <c r="I27" s="696" t="s">
        <v>1303</v>
      </c>
      <c r="J27" s="693">
        <v>10</v>
      </c>
      <c r="K27" s="684">
        <v>2148.3</v>
      </c>
      <c r="L27" s="684">
        <f aca="true" t="shared" si="13" ref="L27:L52">J27*K27</f>
        <v>21483</v>
      </c>
      <c r="M27" s="693">
        <v>800</v>
      </c>
      <c r="N27" s="518">
        <f t="shared" si="3"/>
        <v>71.341</v>
      </c>
      <c r="O27" s="508">
        <f t="shared" si="0"/>
        <v>15.768096678373807</v>
      </c>
      <c r="P27" s="508">
        <v>2.2</v>
      </c>
      <c r="Q27" s="686">
        <f t="shared" si="4"/>
        <v>10.725916666666668</v>
      </c>
      <c r="R27" s="507">
        <v>80</v>
      </c>
      <c r="S27" s="686">
        <f aca="true" t="shared" si="14" ref="S27:S80">(R27/100)*N27</f>
        <v>57.0728</v>
      </c>
      <c r="T27" s="507">
        <v>0.15</v>
      </c>
      <c r="U27" s="687">
        <f t="shared" si="6"/>
        <v>45</v>
      </c>
      <c r="V27" s="518">
        <f t="shared" si="11"/>
        <v>789.75</v>
      </c>
      <c r="W27" s="699">
        <v>20</v>
      </c>
      <c r="X27" s="686">
        <f t="shared" si="12"/>
        <v>157.95</v>
      </c>
      <c r="Y27" s="686">
        <f t="shared" si="7"/>
        <v>26.85375</v>
      </c>
      <c r="Z27" s="686">
        <f t="shared" si="8"/>
        <v>97.83501334504047</v>
      </c>
      <c r="AA27" s="508">
        <f t="shared" si="9"/>
        <v>1031.62655</v>
      </c>
      <c r="AB27" s="694">
        <f aca="true" t="shared" si="15" ref="AB27:AB80">Z27+AA27</f>
        <v>1129.4615633450403</v>
      </c>
    </row>
    <row r="28" spans="1:28" ht="12.75">
      <c r="A28" s="691"/>
      <c r="B28" s="507" t="s">
        <v>1304</v>
      </c>
      <c r="C28" s="692" t="s">
        <v>1305</v>
      </c>
      <c r="D28" s="692">
        <v>0</v>
      </c>
      <c r="E28" s="937">
        <f>'[2]AvePrice'!P27</f>
        <v>622397.5</v>
      </c>
      <c r="F28" s="693">
        <v>17000</v>
      </c>
      <c r="G28" s="697">
        <v>8.5</v>
      </c>
      <c r="H28" s="682">
        <f t="shared" si="10"/>
        <v>62239.75</v>
      </c>
      <c r="I28" s="696" t="s">
        <v>1303</v>
      </c>
      <c r="J28" s="693">
        <v>12</v>
      </c>
      <c r="K28" s="684">
        <v>2148.3</v>
      </c>
      <c r="L28" s="684">
        <f t="shared" si="13"/>
        <v>25779.600000000002</v>
      </c>
      <c r="M28" s="693">
        <v>500</v>
      </c>
      <c r="N28" s="518">
        <f t="shared" si="3"/>
        <v>31.434008823529414</v>
      </c>
      <c r="O28" s="508">
        <f t="shared" si="0"/>
        <v>10.457420992391695</v>
      </c>
      <c r="P28" s="508">
        <v>2.2</v>
      </c>
      <c r="Q28" s="686">
        <f t="shared" si="4"/>
        <v>6.8463725</v>
      </c>
      <c r="R28" s="507">
        <v>50</v>
      </c>
      <c r="S28" s="686">
        <f t="shared" si="14"/>
        <v>15.717004411764707</v>
      </c>
      <c r="T28" s="507">
        <v>0</v>
      </c>
      <c r="U28" s="687">
        <f t="shared" si="6"/>
        <v>0</v>
      </c>
      <c r="V28" s="518">
        <f t="shared" si="11"/>
        <v>0</v>
      </c>
      <c r="W28" s="699">
        <v>30</v>
      </c>
      <c r="X28" s="686">
        <f t="shared" si="12"/>
        <v>0</v>
      </c>
      <c r="Y28" s="686">
        <f t="shared" si="7"/>
        <v>51.559200000000004</v>
      </c>
      <c r="Z28" s="686">
        <f t="shared" si="8"/>
        <v>48.73780231592111</v>
      </c>
      <c r="AA28" s="508">
        <f>S28+X28+Y28</f>
        <v>67.27620441176471</v>
      </c>
      <c r="AB28" s="694">
        <f t="shared" si="15"/>
        <v>116.01400672768582</v>
      </c>
    </row>
    <row r="29" spans="1:28" s="438" customFormat="1" ht="12.75">
      <c r="A29" s="856">
        <v>21</v>
      </c>
      <c r="B29" s="420" t="s">
        <v>1306</v>
      </c>
      <c r="C29" s="453" t="s">
        <v>3217</v>
      </c>
      <c r="D29" s="453">
        <v>0</v>
      </c>
      <c r="E29" s="938">
        <v>3396544.84</v>
      </c>
      <c r="F29" s="857">
        <v>10000</v>
      </c>
      <c r="G29" s="857">
        <v>5</v>
      </c>
      <c r="H29" s="858">
        <f t="shared" si="10"/>
        <v>339654.484</v>
      </c>
      <c r="I29" s="866"/>
      <c r="J29" s="857"/>
      <c r="K29" s="857"/>
      <c r="L29" s="861">
        <f t="shared" si="13"/>
        <v>0</v>
      </c>
      <c r="M29" s="867">
        <v>0</v>
      </c>
      <c r="N29" s="540">
        <f t="shared" si="3"/>
        <v>305.68903559999995</v>
      </c>
      <c r="O29" s="416">
        <f t="shared" si="0"/>
        <v>54.09815352094411</v>
      </c>
      <c r="P29" s="416">
        <v>1.2</v>
      </c>
      <c r="Q29" s="862">
        <f t="shared" si="4"/>
        <v>20.37926904</v>
      </c>
      <c r="R29" s="420">
        <v>70</v>
      </c>
      <c r="S29" s="862">
        <f t="shared" si="14"/>
        <v>213.98232491999997</v>
      </c>
      <c r="T29" s="420">
        <v>0</v>
      </c>
      <c r="U29" s="493">
        <f t="shared" si="6"/>
        <v>0</v>
      </c>
      <c r="V29" s="540">
        <f t="shared" si="11"/>
        <v>0</v>
      </c>
      <c r="W29" s="868">
        <v>10</v>
      </c>
      <c r="X29" s="862">
        <f t="shared" si="12"/>
        <v>0</v>
      </c>
      <c r="Y29" s="869">
        <v>0</v>
      </c>
      <c r="Z29" s="862">
        <f t="shared" si="8"/>
        <v>380.16645816094405</v>
      </c>
      <c r="AA29" s="416">
        <f>S29+X29+Y29</f>
        <v>213.98232491999997</v>
      </c>
      <c r="AB29" s="863">
        <f t="shared" si="15"/>
        <v>594.148783080944</v>
      </c>
    </row>
    <row r="30" spans="1:28" s="438" customFormat="1" ht="12.75">
      <c r="A30" s="856">
        <v>22</v>
      </c>
      <c r="B30" s="420" t="s">
        <v>1307</v>
      </c>
      <c r="C30" s="453" t="s">
        <v>3218</v>
      </c>
      <c r="D30" s="453">
        <v>0</v>
      </c>
      <c r="E30" s="938">
        <v>32740</v>
      </c>
      <c r="F30" s="857">
        <v>6000</v>
      </c>
      <c r="G30" s="857">
        <v>3</v>
      </c>
      <c r="H30" s="858">
        <f t="shared" si="10"/>
        <v>3274</v>
      </c>
      <c r="I30" s="866"/>
      <c r="J30" s="857"/>
      <c r="K30" s="857"/>
      <c r="L30" s="861">
        <f t="shared" si="13"/>
        <v>0</v>
      </c>
      <c r="M30" s="867">
        <v>0</v>
      </c>
      <c r="N30" s="540">
        <f t="shared" si="3"/>
        <v>4.911</v>
      </c>
      <c r="O30" s="416">
        <f t="shared" si="0"/>
        <v>0.50598033</v>
      </c>
      <c r="P30" s="416">
        <v>1.2</v>
      </c>
      <c r="Q30" s="862">
        <f t="shared" si="4"/>
        <v>0.19643999999999998</v>
      </c>
      <c r="R30" s="869">
        <v>50</v>
      </c>
      <c r="S30" s="862">
        <f t="shared" si="14"/>
        <v>2.4555</v>
      </c>
      <c r="T30" s="420">
        <v>0</v>
      </c>
      <c r="U30" s="493">
        <f t="shared" si="6"/>
        <v>0</v>
      </c>
      <c r="V30" s="540">
        <f t="shared" si="11"/>
        <v>0</v>
      </c>
      <c r="W30" s="868">
        <v>10</v>
      </c>
      <c r="X30" s="862">
        <f t="shared" si="12"/>
        <v>0</v>
      </c>
      <c r="Y30" s="869">
        <v>0</v>
      </c>
      <c r="Z30" s="862">
        <f t="shared" si="8"/>
        <v>5.613420329999999</v>
      </c>
      <c r="AA30" s="416">
        <f>S30+X30+Y30</f>
        <v>2.4555</v>
      </c>
      <c r="AB30" s="863">
        <f t="shared" si="15"/>
        <v>8.06892033</v>
      </c>
    </row>
    <row r="31" spans="1:28" s="438" customFormat="1" ht="12.75">
      <c r="A31" s="856">
        <v>23</v>
      </c>
      <c r="B31" s="420" t="s">
        <v>1308</v>
      </c>
      <c r="C31" s="453" t="s">
        <v>1309</v>
      </c>
      <c r="D31" s="453">
        <v>150</v>
      </c>
      <c r="E31" s="938">
        <v>3788965.87</v>
      </c>
      <c r="F31" s="857">
        <v>12000</v>
      </c>
      <c r="G31" s="857">
        <v>6</v>
      </c>
      <c r="H31" s="858">
        <f t="shared" si="10"/>
        <v>378896.58700000006</v>
      </c>
      <c r="I31" s="866" t="s">
        <v>1310</v>
      </c>
      <c r="J31" s="857">
        <v>4</v>
      </c>
      <c r="K31" s="857">
        <v>4000</v>
      </c>
      <c r="L31" s="861">
        <f t="shared" si="13"/>
        <v>16000</v>
      </c>
      <c r="M31" s="857">
        <v>2500</v>
      </c>
      <c r="N31" s="540">
        <f t="shared" si="3"/>
        <v>282.83910691666665</v>
      </c>
      <c r="O31" s="416">
        <f t="shared" si="0"/>
        <v>61.27146071195834</v>
      </c>
      <c r="P31" s="416">
        <v>1.2</v>
      </c>
      <c r="Q31" s="862">
        <f t="shared" si="4"/>
        <v>22.73379522</v>
      </c>
      <c r="R31" s="869">
        <v>70</v>
      </c>
      <c r="S31" s="862">
        <f t="shared" si="14"/>
        <v>197.98737484166665</v>
      </c>
      <c r="T31" s="420">
        <v>0.15</v>
      </c>
      <c r="U31" s="493">
        <f t="shared" si="6"/>
        <v>22.5</v>
      </c>
      <c r="V31" s="540">
        <f t="shared" si="11"/>
        <v>394.875</v>
      </c>
      <c r="W31" s="420">
        <v>25</v>
      </c>
      <c r="X31" s="862">
        <f t="shared" si="12"/>
        <v>98.71875</v>
      </c>
      <c r="Y31" s="416">
        <f>L31/M31</f>
        <v>6.4</v>
      </c>
      <c r="Z31" s="862">
        <f t="shared" si="8"/>
        <v>366.844362848625</v>
      </c>
      <c r="AA31" s="416">
        <f t="shared" si="9"/>
        <v>697.9811248416667</v>
      </c>
      <c r="AB31" s="863">
        <f t="shared" si="15"/>
        <v>1064.8254876902915</v>
      </c>
    </row>
    <row r="32" spans="1:28" ht="12.75">
      <c r="A32" s="691">
        <v>24</v>
      </c>
      <c r="B32" s="507" t="s">
        <v>1311</v>
      </c>
      <c r="C32" s="692" t="s">
        <v>1309</v>
      </c>
      <c r="D32" s="692">
        <v>150</v>
      </c>
      <c r="E32" s="937">
        <f>'[2]AvePrice'!P31</f>
        <v>2390517.5</v>
      </c>
      <c r="F32" s="693">
        <v>12000</v>
      </c>
      <c r="G32" s="693">
        <v>6</v>
      </c>
      <c r="H32" s="682">
        <f t="shared" si="10"/>
        <v>239051.75</v>
      </c>
      <c r="I32" s="696"/>
      <c r="J32" s="693"/>
      <c r="K32" s="693"/>
      <c r="L32" s="684">
        <f t="shared" si="13"/>
        <v>0</v>
      </c>
      <c r="M32" s="693">
        <v>0</v>
      </c>
      <c r="N32" s="518">
        <f t="shared" si="3"/>
        <v>179.2888125</v>
      </c>
      <c r="O32" s="508">
        <f t="shared" si="0"/>
        <v>38.6571175639803</v>
      </c>
      <c r="P32" s="508">
        <v>1.2</v>
      </c>
      <c r="Q32" s="686">
        <f t="shared" si="4"/>
        <v>14.343105000000001</v>
      </c>
      <c r="R32" s="698">
        <v>70</v>
      </c>
      <c r="S32" s="686">
        <f t="shared" si="14"/>
        <v>125.50216875</v>
      </c>
      <c r="T32" s="507">
        <v>0.15</v>
      </c>
      <c r="U32" s="687">
        <f t="shared" si="6"/>
        <v>22.5</v>
      </c>
      <c r="V32" s="518">
        <f t="shared" si="11"/>
        <v>394.875</v>
      </c>
      <c r="W32" s="507">
        <v>25</v>
      </c>
      <c r="X32" s="686">
        <f t="shared" si="12"/>
        <v>98.71875</v>
      </c>
      <c r="Y32" s="698">
        <v>0</v>
      </c>
      <c r="Z32" s="686">
        <f t="shared" si="8"/>
        <v>232.28903506398032</v>
      </c>
      <c r="AA32" s="508">
        <f t="shared" si="9"/>
        <v>619.09591875</v>
      </c>
      <c r="AB32" s="694">
        <f t="shared" si="15"/>
        <v>851.3849538139804</v>
      </c>
    </row>
    <row r="33" spans="1:28" ht="12.75">
      <c r="A33" s="691">
        <v>25</v>
      </c>
      <c r="B33" s="507" t="s">
        <v>1312</v>
      </c>
      <c r="C33" s="692" t="s">
        <v>1313</v>
      </c>
      <c r="D33" s="692">
        <v>150</v>
      </c>
      <c r="E33" s="937">
        <f>'[2]AvePrice'!P32</f>
        <v>1708816.6666666667</v>
      </c>
      <c r="F33" s="693">
        <v>15000</v>
      </c>
      <c r="G33" s="697">
        <v>7.5</v>
      </c>
      <c r="H33" s="682">
        <f t="shared" si="10"/>
        <v>170881.6666666667</v>
      </c>
      <c r="I33" s="696" t="s">
        <v>1314</v>
      </c>
      <c r="J33" s="693">
        <v>6</v>
      </c>
      <c r="K33" s="693">
        <v>2866.6</v>
      </c>
      <c r="L33" s="684">
        <f t="shared" si="13"/>
        <v>17199.6</v>
      </c>
      <c r="M33" s="693">
        <v>1300</v>
      </c>
      <c r="N33" s="518">
        <f t="shared" si="3"/>
        <v>101.38235999999999</v>
      </c>
      <c r="O33" s="508">
        <f t="shared" si="0"/>
        <v>28.273584997732964</v>
      </c>
      <c r="P33" s="508">
        <v>1.2</v>
      </c>
      <c r="Q33" s="686">
        <f t="shared" si="4"/>
        <v>10.2529</v>
      </c>
      <c r="R33" s="507">
        <v>50</v>
      </c>
      <c r="S33" s="686">
        <f t="shared" si="14"/>
        <v>50.691179999999996</v>
      </c>
      <c r="T33" s="507">
        <v>0.13</v>
      </c>
      <c r="U33" s="687">
        <f t="shared" si="6"/>
        <v>19.5</v>
      </c>
      <c r="V33" s="518">
        <f t="shared" si="11"/>
        <v>342.225</v>
      </c>
      <c r="W33" s="507">
        <v>25</v>
      </c>
      <c r="X33" s="686">
        <f t="shared" si="12"/>
        <v>85.55625</v>
      </c>
      <c r="Y33" s="508">
        <f>L33/M33</f>
        <v>13.230461538461537</v>
      </c>
      <c r="Z33" s="686">
        <f t="shared" si="8"/>
        <v>139.90884499773296</v>
      </c>
      <c r="AA33" s="508">
        <f t="shared" si="9"/>
        <v>491.7028915384616</v>
      </c>
      <c r="AB33" s="694">
        <f t="shared" si="15"/>
        <v>631.6117365361945</v>
      </c>
    </row>
    <row r="34" spans="1:28" ht="12.75">
      <c r="A34" s="691">
        <v>26</v>
      </c>
      <c r="B34" s="507" t="s">
        <v>1315</v>
      </c>
      <c r="C34" s="692" t="s">
        <v>1316</v>
      </c>
      <c r="D34" s="692">
        <v>200</v>
      </c>
      <c r="E34" s="937">
        <f>'[2]AvePrice'!P33</f>
        <v>2331595</v>
      </c>
      <c r="F34" s="693">
        <v>10000</v>
      </c>
      <c r="G34" s="693">
        <v>5</v>
      </c>
      <c r="H34" s="682">
        <f t="shared" si="10"/>
        <v>233159.5</v>
      </c>
      <c r="I34" s="696"/>
      <c r="J34" s="693"/>
      <c r="K34" s="693"/>
      <c r="L34" s="684">
        <f t="shared" si="13"/>
        <v>0</v>
      </c>
      <c r="M34" s="693">
        <v>0</v>
      </c>
      <c r="N34" s="518">
        <f t="shared" si="3"/>
        <v>209.84355</v>
      </c>
      <c r="O34" s="508">
        <f t="shared" si="0"/>
        <v>37.13626352675082</v>
      </c>
      <c r="P34" s="508">
        <v>1.2</v>
      </c>
      <c r="Q34" s="686">
        <f t="shared" si="4"/>
        <v>13.98957</v>
      </c>
      <c r="R34" s="507">
        <v>90</v>
      </c>
      <c r="S34" s="686">
        <f t="shared" si="14"/>
        <v>188.859195</v>
      </c>
      <c r="T34" s="507">
        <v>0.16</v>
      </c>
      <c r="U34" s="687">
        <f t="shared" si="6"/>
        <v>32</v>
      </c>
      <c r="V34" s="518">
        <f t="shared" si="11"/>
        <v>561.6</v>
      </c>
      <c r="W34" s="507">
        <v>25</v>
      </c>
      <c r="X34" s="686">
        <f t="shared" si="12"/>
        <v>140.4</v>
      </c>
      <c r="Y34" s="698">
        <v>0</v>
      </c>
      <c r="Z34" s="686">
        <f t="shared" si="8"/>
        <v>260.9693835267508</v>
      </c>
      <c r="AA34" s="508">
        <f t="shared" si="9"/>
        <v>890.859195</v>
      </c>
      <c r="AB34" s="694">
        <f t="shared" si="15"/>
        <v>1151.8285785267508</v>
      </c>
    </row>
    <row r="35" spans="1:28" s="438" customFormat="1" ht="12" customHeight="1">
      <c r="A35" s="856">
        <v>27</v>
      </c>
      <c r="B35" s="420" t="s">
        <v>1317</v>
      </c>
      <c r="C35" s="453" t="s">
        <v>3219</v>
      </c>
      <c r="D35" s="453">
        <v>200</v>
      </c>
      <c r="E35" s="938">
        <v>2828171.43</v>
      </c>
      <c r="F35" s="857">
        <v>10000</v>
      </c>
      <c r="G35" s="857">
        <v>5</v>
      </c>
      <c r="H35" s="858">
        <f t="shared" si="10"/>
        <v>282817.143</v>
      </c>
      <c r="I35" s="866" t="s">
        <v>1318</v>
      </c>
      <c r="J35" s="857">
        <v>4</v>
      </c>
      <c r="K35" s="857">
        <v>5300</v>
      </c>
      <c r="L35" s="861">
        <f t="shared" si="13"/>
        <v>21200</v>
      </c>
      <c r="M35" s="857">
        <v>2200</v>
      </c>
      <c r="N35" s="540">
        <f t="shared" si="3"/>
        <v>252.4154287</v>
      </c>
      <c r="O35" s="416">
        <f t="shared" si="0"/>
        <v>45.04543864749568</v>
      </c>
      <c r="P35" s="416">
        <v>1.2</v>
      </c>
      <c r="Q35" s="862">
        <f t="shared" si="4"/>
        <v>16.96902858</v>
      </c>
      <c r="R35" s="420">
        <v>60</v>
      </c>
      <c r="S35" s="862">
        <f t="shared" si="14"/>
        <v>151.44925722</v>
      </c>
      <c r="T35" s="420">
        <v>0.14</v>
      </c>
      <c r="U35" s="493">
        <f t="shared" si="6"/>
        <v>28.000000000000004</v>
      </c>
      <c r="V35" s="540">
        <f t="shared" si="11"/>
        <v>491.4000000000001</v>
      </c>
      <c r="W35" s="420">
        <v>25</v>
      </c>
      <c r="X35" s="862">
        <f t="shared" si="12"/>
        <v>122.85000000000002</v>
      </c>
      <c r="Y35" s="416">
        <f>L35/M35</f>
        <v>9.636363636363637</v>
      </c>
      <c r="Z35" s="862">
        <f t="shared" si="8"/>
        <v>314.4298959274957</v>
      </c>
      <c r="AA35" s="416">
        <f t="shared" si="9"/>
        <v>775.3356208563637</v>
      </c>
      <c r="AB35" s="863">
        <f t="shared" si="15"/>
        <v>1089.7655167838593</v>
      </c>
    </row>
    <row r="36" spans="1:28" ht="12.75">
      <c r="A36" s="691">
        <v>28</v>
      </c>
      <c r="B36" s="507" t="s">
        <v>1319</v>
      </c>
      <c r="C36" s="692" t="s">
        <v>1320</v>
      </c>
      <c r="D36" s="692">
        <v>80</v>
      </c>
      <c r="E36" s="937">
        <f>'[2]AvePrice'!P35</f>
        <v>920926.6666666666</v>
      </c>
      <c r="F36" s="693">
        <v>12000</v>
      </c>
      <c r="G36" s="693">
        <v>6</v>
      </c>
      <c r="H36" s="682">
        <f t="shared" si="10"/>
        <v>92092.66666666666</v>
      </c>
      <c r="I36" s="696"/>
      <c r="J36" s="693"/>
      <c r="K36" s="693"/>
      <c r="L36" s="684">
        <f t="shared" si="13"/>
        <v>0</v>
      </c>
      <c r="M36" s="693">
        <v>0</v>
      </c>
      <c r="N36" s="518">
        <f t="shared" si="3"/>
        <v>69.0695</v>
      </c>
      <c r="O36" s="508">
        <f t="shared" si="0"/>
        <v>14.89232788345529</v>
      </c>
      <c r="P36" s="508">
        <v>1.2</v>
      </c>
      <c r="Q36" s="686">
        <f t="shared" si="4"/>
        <v>5.5255600000000005</v>
      </c>
      <c r="R36" s="507">
        <v>70</v>
      </c>
      <c r="S36" s="686">
        <f t="shared" si="14"/>
        <v>48.34865</v>
      </c>
      <c r="T36" s="507">
        <v>0.2</v>
      </c>
      <c r="U36" s="687">
        <f t="shared" si="6"/>
        <v>16</v>
      </c>
      <c r="V36" s="518">
        <f t="shared" si="11"/>
        <v>280.8</v>
      </c>
      <c r="W36" s="507">
        <v>20</v>
      </c>
      <c r="X36" s="686">
        <f t="shared" si="12"/>
        <v>56.16</v>
      </c>
      <c r="Y36" s="698">
        <v>0</v>
      </c>
      <c r="Z36" s="686">
        <f t="shared" si="8"/>
        <v>89.4873878834553</v>
      </c>
      <c r="AA36" s="508">
        <f t="shared" si="9"/>
        <v>385.30865000000006</v>
      </c>
      <c r="AB36" s="694">
        <f t="shared" si="15"/>
        <v>474.79603788345537</v>
      </c>
    </row>
    <row r="37" spans="1:28" ht="12.75">
      <c r="A37" s="691">
        <v>29</v>
      </c>
      <c r="B37" s="507" t="s">
        <v>1319</v>
      </c>
      <c r="C37" s="692" t="s">
        <v>1321</v>
      </c>
      <c r="D37" s="692">
        <v>100</v>
      </c>
      <c r="E37" s="937">
        <f>'[2]AvePrice'!P36</f>
        <v>988341.7</v>
      </c>
      <c r="F37" s="693">
        <v>12000</v>
      </c>
      <c r="G37" s="693">
        <v>6</v>
      </c>
      <c r="H37" s="682">
        <f t="shared" si="10"/>
        <v>98834.17</v>
      </c>
      <c r="I37" s="696"/>
      <c r="J37" s="693"/>
      <c r="K37" s="693"/>
      <c r="L37" s="684">
        <f t="shared" si="13"/>
        <v>0</v>
      </c>
      <c r="M37" s="693">
        <v>0</v>
      </c>
      <c r="N37" s="518">
        <f t="shared" si="3"/>
        <v>74.1256275</v>
      </c>
      <c r="O37" s="508">
        <f t="shared" si="0"/>
        <v>15.982498053364655</v>
      </c>
      <c r="P37" s="508">
        <v>1.2</v>
      </c>
      <c r="Q37" s="686">
        <f t="shared" si="4"/>
        <v>5.930050199999999</v>
      </c>
      <c r="R37" s="507">
        <v>70</v>
      </c>
      <c r="S37" s="686">
        <f t="shared" si="14"/>
        <v>51.887939249999995</v>
      </c>
      <c r="T37" s="507">
        <v>0.2</v>
      </c>
      <c r="U37" s="687">
        <f t="shared" si="6"/>
        <v>20</v>
      </c>
      <c r="V37" s="518">
        <f t="shared" si="11"/>
        <v>351</v>
      </c>
      <c r="W37" s="507">
        <v>20</v>
      </c>
      <c r="X37" s="686">
        <f t="shared" si="12"/>
        <v>70.2</v>
      </c>
      <c r="Y37" s="698">
        <v>0</v>
      </c>
      <c r="Z37" s="686">
        <f t="shared" si="8"/>
        <v>96.03817575336464</v>
      </c>
      <c r="AA37" s="508">
        <f t="shared" si="9"/>
        <v>473.08793925</v>
      </c>
      <c r="AB37" s="694">
        <f t="shared" si="15"/>
        <v>569.1261150033646</v>
      </c>
    </row>
    <row r="38" spans="1:28" s="438" customFormat="1" ht="12.75">
      <c r="A38" s="870">
        <v>30</v>
      </c>
      <c r="B38" s="420" t="s">
        <v>1319</v>
      </c>
      <c r="C38" s="453" t="s">
        <v>1322</v>
      </c>
      <c r="D38" s="453">
        <v>150</v>
      </c>
      <c r="E38" s="938">
        <v>1695267.59</v>
      </c>
      <c r="F38" s="857">
        <v>12000</v>
      </c>
      <c r="G38" s="857">
        <v>6</v>
      </c>
      <c r="H38" s="858">
        <f t="shared" si="10"/>
        <v>169526.75900000002</v>
      </c>
      <c r="I38" s="866"/>
      <c r="J38" s="857"/>
      <c r="K38" s="857"/>
      <c r="L38" s="861">
        <f t="shared" si="13"/>
        <v>0</v>
      </c>
      <c r="M38" s="857">
        <v>0</v>
      </c>
      <c r="N38" s="540">
        <f t="shared" si="3"/>
        <v>127.14506925</v>
      </c>
      <c r="O38" s="416">
        <f t="shared" si="0"/>
        <v>27.414214089223588</v>
      </c>
      <c r="P38" s="416">
        <v>1.2</v>
      </c>
      <c r="Q38" s="862">
        <f t="shared" si="4"/>
        <v>10.17160554</v>
      </c>
      <c r="R38" s="420">
        <v>70</v>
      </c>
      <c r="S38" s="862">
        <f t="shared" si="14"/>
        <v>89.00154847499999</v>
      </c>
      <c r="T38" s="420">
        <v>0.2</v>
      </c>
      <c r="U38" s="493">
        <f t="shared" si="6"/>
        <v>30</v>
      </c>
      <c r="V38" s="540">
        <f t="shared" si="11"/>
        <v>526.5</v>
      </c>
      <c r="W38" s="420">
        <v>20</v>
      </c>
      <c r="X38" s="862">
        <f t="shared" si="12"/>
        <v>105.3</v>
      </c>
      <c r="Y38" s="869">
        <v>0</v>
      </c>
      <c r="Z38" s="862">
        <f t="shared" si="8"/>
        <v>164.73088887922358</v>
      </c>
      <c r="AA38" s="416">
        <f t="shared" si="9"/>
        <v>720.8015484749999</v>
      </c>
      <c r="AB38" s="863">
        <f t="shared" si="15"/>
        <v>885.5324373542235</v>
      </c>
    </row>
    <row r="39" spans="1:28" s="438" customFormat="1" ht="12.75">
      <c r="A39" s="871">
        <v>31</v>
      </c>
      <c r="B39" s="420" t="s">
        <v>1323</v>
      </c>
      <c r="C39" s="453" t="s">
        <v>1324</v>
      </c>
      <c r="D39" s="453">
        <v>150</v>
      </c>
      <c r="E39" s="938">
        <v>1966009.48</v>
      </c>
      <c r="F39" s="857">
        <v>15000</v>
      </c>
      <c r="G39" s="865">
        <v>7.5</v>
      </c>
      <c r="H39" s="858">
        <f t="shared" si="10"/>
        <v>196600.948</v>
      </c>
      <c r="I39" s="866"/>
      <c r="J39" s="857"/>
      <c r="K39" s="857"/>
      <c r="L39" s="861">
        <f t="shared" si="13"/>
        <v>0</v>
      </c>
      <c r="M39" s="857">
        <v>0</v>
      </c>
      <c r="N39" s="540">
        <f t="shared" si="3"/>
        <v>117.96056879999999</v>
      </c>
      <c r="O39" s="416">
        <f t="shared" si="0"/>
        <v>32.52902269940921</v>
      </c>
      <c r="P39" s="416">
        <v>1.2</v>
      </c>
      <c r="Q39" s="862">
        <f t="shared" si="4"/>
        <v>11.796056879999998</v>
      </c>
      <c r="R39" s="420">
        <v>70</v>
      </c>
      <c r="S39" s="862">
        <f t="shared" si="14"/>
        <v>82.57239815999999</v>
      </c>
      <c r="T39" s="420">
        <v>0.2</v>
      </c>
      <c r="U39" s="493">
        <f t="shared" si="6"/>
        <v>30</v>
      </c>
      <c r="V39" s="540">
        <f t="shared" si="11"/>
        <v>526.5</v>
      </c>
      <c r="W39" s="420">
        <v>20</v>
      </c>
      <c r="X39" s="862">
        <f t="shared" si="12"/>
        <v>105.3</v>
      </c>
      <c r="Y39" s="869">
        <v>0</v>
      </c>
      <c r="Z39" s="862">
        <f t="shared" si="8"/>
        <v>162.2856483794092</v>
      </c>
      <c r="AA39" s="416">
        <f t="shared" si="9"/>
        <v>714.37239816</v>
      </c>
      <c r="AB39" s="863">
        <f t="shared" si="15"/>
        <v>876.6580465394092</v>
      </c>
    </row>
    <row r="40" spans="1:28" s="438" customFormat="1" ht="12.75">
      <c r="A40" s="856">
        <v>32</v>
      </c>
      <c r="B40" s="420" t="s">
        <v>1325</v>
      </c>
      <c r="C40" s="453" t="s">
        <v>3220</v>
      </c>
      <c r="D40" s="453">
        <v>100</v>
      </c>
      <c r="E40" s="938">
        <v>1309601.71</v>
      </c>
      <c r="F40" s="857">
        <v>15000</v>
      </c>
      <c r="G40" s="865">
        <v>7.5</v>
      </c>
      <c r="H40" s="858">
        <f t="shared" si="10"/>
        <v>130960.171</v>
      </c>
      <c r="I40" s="866" t="s">
        <v>1223</v>
      </c>
      <c r="J40" s="857">
        <v>7</v>
      </c>
      <c r="K40" s="857">
        <v>1700.16</v>
      </c>
      <c r="L40" s="861">
        <f t="shared" si="13"/>
        <v>11901.12</v>
      </c>
      <c r="M40" s="857">
        <v>2500</v>
      </c>
      <c r="N40" s="540">
        <f t="shared" si="3"/>
        <v>77.78269459999999</v>
      </c>
      <c r="O40" s="416">
        <f t="shared" si="0"/>
        <v>21.668290099890626</v>
      </c>
      <c r="P40" s="416">
        <v>1.2</v>
      </c>
      <c r="Q40" s="862">
        <f t="shared" si="4"/>
        <v>7.8576102599999995</v>
      </c>
      <c r="R40" s="420">
        <v>70</v>
      </c>
      <c r="S40" s="862">
        <f t="shared" si="14"/>
        <v>54.44788621999999</v>
      </c>
      <c r="T40" s="420">
        <v>0.14</v>
      </c>
      <c r="U40" s="493">
        <f t="shared" si="6"/>
        <v>14.000000000000002</v>
      </c>
      <c r="V40" s="540">
        <f t="shared" si="11"/>
        <v>245.70000000000005</v>
      </c>
      <c r="W40" s="420">
        <v>20</v>
      </c>
      <c r="X40" s="862">
        <f t="shared" si="12"/>
        <v>49.14000000000001</v>
      </c>
      <c r="Y40" s="416">
        <f>L40/M40</f>
        <v>4.760448</v>
      </c>
      <c r="Z40" s="862">
        <f t="shared" si="8"/>
        <v>107.30859495989061</v>
      </c>
      <c r="AA40" s="416">
        <f t="shared" si="9"/>
        <v>354.04833422</v>
      </c>
      <c r="AB40" s="863">
        <f t="shared" si="15"/>
        <v>461.35692917989064</v>
      </c>
    </row>
    <row r="41" spans="1:28" ht="12.75">
      <c r="A41" s="691">
        <v>33</v>
      </c>
      <c r="B41" s="507" t="s">
        <v>1224</v>
      </c>
      <c r="C41" s="692" t="s">
        <v>1225</v>
      </c>
      <c r="D41" s="692">
        <v>380</v>
      </c>
      <c r="E41" s="937">
        <f>'[2]AvePrice'!P40</f>
        <v>4819560</v>
      </c>
      <c r="F41" s="693">
        <v>16000</v>
      </c>
      <c r="G41" s="693">
        <v>8</v>
      </c>
      <c r="H41" s="682">
        <f t="shared" si="10"/>
        <v>481956</v>
      </c>
      <c r="I41" s="696" t="s">
        <v>1226</v>
      </c>
      <c r="J41" s="693">
        <v>4</v>
      </c>
      <c r="K41" s="693">
        <v>9100</v>
      </c>
      <c r="L41" s="684">
        <f t="shared" si="13"/>
        <v>36400</v>
      </c>
      <c r="M41" s="693">
        <v>2500</v>
      </c>
      <c r="N41" s="518">
        <f t="shared" si="3"/>
        <v>268.82525</v>
      </c>
      <c r="O41" s="508">
        <f t="shared" si="0"/>
        <v>80.35715084078113</v>
      </c>
      <c r="P41" s="508">
        <v>1.2</v>
      </c>
      <c r="Q41" s="686">
        <f t="shared" si="4"/>
        <v>28.917360000000002</v>
      </c>
      <c r="R41" s="507">
        <v>90</v>
      </c>
      <c r="S41" s="686">
        <f t="shared" si="14"/>
        <v>241.942725</v>
      </c>
      <c r="T41" s="507">
        <v>0.13</v>
      </c>
      <c r="U41" s="687">
        <f t="shared" si="6"/>
        <v>49.4</v>
      </c>
      <c r="V41" s="518">
        <f t="shared" si="11"/>
        <v>866.97</v>
      </c>
      <c r="W41" s="507">
        <v>30</v>
      </c>
      <c r="X41" s="686">
        <f t="shared" si="12"/>
        <v>260.091</v>
      </c>
      <c r="Y41" s="508">
        <f>L41/M41</f>
        <v>14.56</v>
      </c>
      <c r="Z41" s="686">
        <f t="shared" si="8"/>
        <v>378.0997608407811</v>
      </c>
      <c r="AA41" s="508">
        <f t="shared" si="9"/>
        <v>1383.563725</v>
      </c>
      <c r="AB41" s="694">
        <f t="shared" si="15"/>
        <v>1761.663485840781</v>
      </c>
    </row>
    <row r="42" spans="1:28" ht="12.75">
      <c r="A42" s="691">
        <v>34</v>
      </c>
      <c r="B42" s="507" t="s">
        <v>1227</v>
      </c>
      <c r="C42" s="692" t="s">
        <v>1228</v>
      </c>
      <c r="D42" s="692">
        <v>160</v>
      </c>
      <c r="E42" s="937">
        <f>'[2]AvePrice'!P41</f>
        <v>2095355</v>
      </c>
      <c r="F42" s="693">
        <v>13000</v>
      </c>
      <c r="G42" s="697">
        <v>6.5</v>
      </c>
      <c r="H42" s="682">
        <f t="shared" si="10"/>
        <v>209535.5</v>
      </c>
      <c r="I42" s="696"/>
      <c r="J42" s="693"/>
      <c r="K42" s="693"/>
      <c r="L42" s="684">
        <f t="shared" si="13"/>
        <v>0</v>
      </c>
      <c r="M42" s="693">
        <v>0</v>
      </c>
      <c r="N42" s="518">
        <f t="shared" si="3"/>
        <v>145.06303846153847</v>
      </c>
      <c r="O42" s="508">
        <f t="shared" si="0"/>
        <v>34.143121167527084</v>
      </c>
      <c r="P42" s="508">
        <v>1.2</v>
      </c>
      <c r="Q42" s="686">
        <f t="shared" si="4"/>
        <v>12.57213</v>
      </c>
      <c r="R42" s="507">
        <v>90</v>
      </c>
      <c r="S42" s="686">
        <f t="shared" si="14"/>
        <v>130.5567346153846</v>
      </c>
      <c r="T42" s="507">
        <v>0.14</v>
      </c>
      <c r="U42" s="687">
        <f t="shared" si="6"/>
        <v>22.400000000000002</v>
      </c>
      <c r="V42" s="518">
        <f t="shared" si="11"/>
        <v>393.12000000000006</v>
      </c>
      <c r="W42" s="507">
        <v>30</v>
      </c>
      <c r="X42" s="686">
        <f t="shared" si="12"/>
        <v>117.93600000000002</v>
      </c>
      <c r="Y42" s="698">
        <v>0</v>
      </c>
      <c r="Z42" s="686">
        <f t="shared" si="8"/>
        <v>191.77828962906554</v>
      </c>
      <c r="AA42" s="508">
        <f t="shared" si="9"/>
        <v>641.6127346153847</v>
      </c>
      <c r="AB42" s="694">
        <f t="shared" si="15"/>
        <v>833.3910242444503</v>
      </c>
    </row>
    <row r="43" spans="1:28" ht="12.75">
      <c r="A43" s="691">
        <v>35</v>
      </c>
      <c r="B43" s="507" t="s">
        <v>1229</v>
      </c>
      <c r="C43" s="692" t="s">
        <v>1230</v>
      </c>
      <c r="D43" s="692">
        <v>225</v>
      </c>
      <c r="E43" s="937">
        <f>'[2]AvePrice'!P42</f>
        <v>2948600</v>
      </c>
      <c r="F43" s="693">
        <v>15000</v>
      </c>
      <c r="G43" s="697">
        <v>7.5</v>
      </c>
      <c r="H43" s="682">
        <f t="shared" si="10"/>
        <v>294860</v>
      </c>
      <c r="I43" s="696"/>
      <c r="J43" s="693"/>
      <c r="K43" s="693"/>
      <c r="L43" s="684">
        <f t="shared" si="13"/>
        <v>0</v>
      </c>
      <c r="M43" s="693">
        <v>0</v>
      </c>
      <c r="N43" s="518">
        <f t="shared" si="3"/>
        <v>176.916</v>
      </c>
      <c r="O43" s="508">
        <f t="shared" si="0"/>
        <v>48.78668048512055</v>
      </c>
      <c r="P43" s="508">
        <v>1.2</v>
      </c>
      <c r="Q43" s="686">
        <f t="shared" si="4"/>
        <v>17.6916</v>
      </c>
      <c r="R43" s="507">
        <v>90</v>
      </c>
      <c r="S43" s="686">
        <f t="shared" si="14"/>
        <v>159.2244</v>
      </c>
      <c r="T43" s="507">
        <v>0.14</v>
      </c>
      <c r="U43" s="687">
        <f t="shared" si="6"/>
        <v>31.500000000000004</v>
      </c>
      <c r="V43" s="518">
        <f t="shared" si="11"/>
        <v>552.825</v>
      </c>
      <c r="W43" s="507">
        <v>30</v>
      </c>
      <c r="X43" s="686">
        <f t="shared" si="12"/>
        <v>165.8475</v>
      </c>
      <c r="Y43" s="698">
        <v>0</v>
      </c>
      <c r="Z43" s="686">
        <f t="shared" si="8"/>
        <v>243.39428048512053</v>
      </c>
      <c r="AA43" s="508">
        <f t="shared" si="9"/>
        <v>877.8969000000001</v>
      </c>
      <c r="AB43" s="694">
        <f t="shared" si="15"/>
        <v>1121.2911804851205</v>
      </c>
    </row>
    <row r="44" spans="1:28" ht="12.75">
      <c r="A44" s="691">
        <v>36</v>
      </c>
      <c r="B44" s="507" t="s">
        <v>1231</v>
      </c>
      <c r="C44" s="692" t="s">
        <v>1232</v>
      </c>
      <c r="D44" s="692">
        <v>300</v>
      </c>
      <c r="E44" s="937">
        <f>'[2]AvePrice'!P43</f>
        <v>3657372</v>
      </c>
      <c r="F44" s="693">
        <v>16000</v>
      </c>
      <c r="G44" s="693">
        <v>8</v>
      </c>
      <c r="H44" s="682">
        <f t="shared" si="10"/>
        <v>365737.2</v>
      </c>
      <c r="I44" s="696"/>
      <c r="J44" s="693"/>
      <c r="K44" s="693"/>
      <c r="L44" s="684">
        <f t="shared" si="13"/>
        <v>0</v>
      </c>
      <c r="M44" s="693">
        <v>0</v>
      </c>
      <c r="N44" s="518">
        <f t="shared" si="3"/>
        <v>205.727175</v>
      </c>
      <c r="O44" s="508">
        <f t="shared" si="0"/>
        <v>60.97983913154923</v>
      </c>
      <c r="P44" s="508">
        <v>1.2</v>
      </c>
      <c r="Q44" s="686">
        <f t="shared" si="4"/>
        <v>21.944231999999996</v>
      </c>
      <c r="R44" s="507">
        <v>90</v>
      </c>
      <c r="S44" s="686">
        <f t="shared" si="14"/>
        <v>185.1544575</v>
      </c>
      <c r="T44" s="507">
        <v>0.14</v>
      </c>
      <c r="U44" s="687">
        <f t="shared" si="6"/>
        <v>42.00000000000001</v>
      </c>
      <c r="V44" s="518">
        <f t="shared" si="11"/>
        <v>737.1000000000001</v>
      </c>
      <c r="W44" s="507">
        <v>30</v>
      </c>
      <c r="X44" s="686">
        <f t="shared" si="12"/>
        <v>221.13000000000002</v>
      </c>
      <c r="Y44" s="698">
        <v>0</v>
      </c>
      <c r="Z44" s="686">
        <f t="shared" si="8"/>
        <v>288.6512461315492</v>
      </c>
      <c r="AA44" s="508">
        <f t="shared" si="9"/>
        <v>1143.3844575000003</v>
      </c>
      <c r="AB44" s="694">
        <f t="shared" si="15"/>
        <v>1432.0357036315495</v>
      </c>
    </row>
    <row r="45" spans="1:28" s="438" customFormat="1" ht="12.75">
      <c r="A45" s="856">
        <v>37</v>
      </c>
      <c r="B45" s="420" t="s">
        <v>1233</v>
      </c>
      <c r="C45" s="453" t="s">
        <v>1234</v>
      </c>
      <c r="D45" s="453">
        <v>370</v>
      </c>
      <c r="E45" s="938">
        <v>19785295.84</v>
      </c>
      <c r="F45" s="857">
        <v>17000</v>
      </c>
      <c r="G45" s="865">
        <v>8.5</v>
      </c>
      <c r="H45" s="858">
        <f t="shared" si="10"/>
        <v>1978529.584</v>
      </c>
      <c r="I45" s="866" t="s">
        <v>1235</v>
      </c>
      <c r="J45" s="857">
        <v>16</v>
      </c>
      <c r="K45" s="857">
        <v>1800</v>
      </c>
      <c r="L45" s="861">
        <f t="shared" si="13"/>
        <v>28800</v>
      </c>
      <c r="M45" s="857">
        <v>4000</v>
      </c>
      <c r="N45" s="540">
        <f t="shared" si="3"/>
        <v>1045.7627209411764</v>
      </c>
      <c r="O45" s="416">
        <f t="shared" si="0"/>
        <v>332.42930451664097</v>
      </c>
      <c r="P45" s="416">
        <v>0.4</v>
      </c>
      <c r="Q45" s="862">
        <f t="shared" si="4"/>
        <v>39.57059167999999</v>
      </c>
      <c r="R45" s="420">
        <v>90</v>
      </c>
      <c r="S45" s="862">
        <f t="shared" si="14"/>
        <v>941.1864488470588</v>
      </c>
      <c r="T45" s="420">
        <v>0.2</v>
      </c>
      <c r="U45" s="493">
        <f t="shared" si="6"/>
        <v>74</v>
      </c>
      <c r="V45" s="540">
        <f t="shared" si="11"/>
        <v>1298.7</v>
      </c>
      <c r="W45" s="420">
        <v>33</v>
      </c>
      <c r="X45" s="862">
        <f t="shared" si="12"/>
        <v>428.57099999999997</v>
      </c>
      <c r="Y45" s="416">
        <f>L45/M45</f>
        <v>7.2</v>
      </c>
      <c r="Z45" s="862">
        <f t="shared" si="8"/>
        <v>1417.7626171378174</v>
      </c>
      <c r="AA45" s="416">
        <f t="shared" si="9"/>
        <v>2675.6574488470587</v>
      </c>
      <c r="AB45" s="863">
        <f t="shared" si="15"/>
        <v>4093.420065984876</v>
      </c>
    </row>
    <row r="46" spans="1:28" s="438" customFormat="1" ht="12.75">
      <c r="A46" s="856">
        <v>38</v>
      </c>
      <c r="B46" s="420" t="s">
        <v>1236</v>
      </c>
      <c r="C46" s="864" t="s">
        <v>3221</v>
      </c>
      <c r="D46" s="453">
        <v>1300</v>
      </c>
      <c r="E46" s="938">
        <v>22428493.04</v>
      </c>
      <c r="F46" s="857">
        <v>20000</v>
      </c>
      <c r="G46" s="865">
        <v>9</v>
      </c>
      <c r="H46" s="858">
        <f t="shared" si="10"/>
        <v>2242849.3039999995</v>
      </c>
      <c r="I46" s="866" t="s">
        <v>1235</v>
      </c>
      <c r="J46" s="857">
        <v>20</v>
      </c>
      <c r="K46" s="857">
        <v>1800</v>
      </c>
      <c r="L46" s="861">
        <f t="shared" si="13"/>
        <v>36000</v>
      </c>
      <c r="M46" s="857">
        <v>4000</v>
      </c>
      <c r="N46" s="540">
        <f t="shared" si="3"/>
        <v>1007.4821868</v>
      </c>
      <c r="O46" s="416">
        <f t="shared" si="0"/>
        <v>385.67630602308174</v>
      </c>
      <c r="P46" s="416">
        <v>0.4</v>
      </c>
      <c r="Q46" s="862">
        <f t="shared" si="4"/>
        <v>40.371287472</v>
      </c>
      <c r="R46" s="420">
        <v>90</v>
      </c>
      <c r="S46" s="862">
        <f t="shared" si="14"/>
        <v>906.73396812</v>
      </c>
      <c r="T46" s="420">
        <v>0.2</v>
      </c>
      <c r="U46" s="493">
        <f t="shared" si="6"/>
        <v>260</v>
      </c>
      <c r="V46" s="540">
        <f t="shared" si="11"/>
        <v>4563</v>
      </c>
      <c r="W46" s="420">
        <v>33</v>
      </c>
      <c r="X46" s="862">
        <f t="shared" si="12"/>
        <v>1505.79</v>
      </c>
      <c r="Y46" s="416">
        <f>L46/M46</f>
        <v>9</v>
      </c>
      <c r="Z46" s="862">
        <f t="shared" si="8"/>
        <v>1433.5297802950818</v>
      </c>
      <c r="AA46" s="416">
        <f t="shared" si="9"/>
        <v>6984.52396812</v>
      </c>
      <c r="AB46" s="863">
        <f t="shared" si="15"/>
        <v>8418.053748415081</v>
      </c>
    </row>
    <row r="47" spans="1:28" s="438" customFormat="1" ht="12.75">
      <c r="A47" s="856">
        <v>39</v>
      </c>
      <c r="B47" s="420" t="s">
        <v>1237</v>
      </c>
      <c r="C47" s="453" t="s">
        <v>1238</v>
      </c>
      <c r="D47" s="453">
        <v>145</v>
      </c>
      <c r="E47" s="938">
        <v>5398679.54</v>
      </c>
      <c r="F47" s="857">
        <v>15000</v>
      </c>
      <c r="G47" s="865">
        <v>7.5</v>
      </c>
      <c r="H47" s="858">
        <f t="shared" si="10"/>
        <v>539867.954</v>
      </c>
      <c r="I47" s="866"/>
      <c r="J47" s="857"/>
      <c r="K47" s="857"/>
      <c r="L47" s="861">
        <f t="shared" si="13"/>
        <v>0</v>
      </c>
      <c r="M47" s="857">
        <v>0</v>
      </c>
      <c r="N47" s="540">
        <f t="shared" si="3"/>
        <v>323.92077240000003</v>
      </c>
      <c r="O47" s="416">
        <f t="shared" si="0"/>
        <v>89.32498601354459</v>
      </c>
      <c r="P47" s="416">
        <v>1.2</v>
      </c>
      <c r="Q47" s="862">
        <f t="shared" si="4"/>
        <v>32.39207724</v>
      </c>
      <c r="R47" s="420">
        <v>80</v>
      </c>
      <c r="S47" s="862">
        <f t="shared" si="14"/>
        <v>259.13661792000005</v>
      </c>
      <c r="T47" s="420">
        <v>0.14</v>
      </c>
      <c r="U47" s="493">
        <f t="shared" si="6"/>
        <v>20.3</v>
      </c>
      <c r="V47" s="540">
        <f t="shared" si="11"/>
        <v>356.26500000000004</v>
      </c>
      <c r="W47" s="420">
        <v>25</v>
      </c>
      <c r="X47" s="862">
        <f t="shared" si="12"/>
        <v>89.06625000000003</v>
      </c>
      <c r="Y47" s="869">
        <v>0</v>
      </c>
      <c r="Z47" s="862">
        <f t="shared" si="8"/>
        <v>445.63783565354464</v>
      </c>
      <c r="AA47" s="416">
        <f t="shared" si="9"/>
        <v>704.4678679200001</v>
      </c>
      <c r="AB47" s="863">
        <f t="shared" si="15"/>
        <v>1150.1057035735448</v>
      </c>
    </row>
    <row r="48" spans="1:28" ht="12.75">
      <c r="A48" s="691">
        <v>40</v>
      </c>
      <c r="B48" s="507" t="s">
        <v>1239</v>
      </c>
      <c r="C48" s="692" t="s">
        <v>1240</v>
      </c>
      <c r="D48" s="692">
        <v>465</v>
      </c>
      <c r="E48" s="937">
        <f>'[2]AvePrice'!P47</f>
        <v>18500000</v>
      </c>
      <c r="F48" s="693">
        <v>18000</v>
      </c>
      <c r="G48" s="697">
        <v>9</v>
      </c>
      <c r="H48" s="682">
        <f t="shared" si="10"/>
        <v>1850000</v>
      </c>
      <c r="I48" s="696" t="s">
        <v>1235</v>
      </c>
      <c r="J48" s="693">
        <v>30</v>
      </c>
      <c r="K48" s="693">
        <v>1800</v>
      </c>
      <c r="L48" s="684">
        <f t="shared" si="13"/>
        <v>54000</v>
      </c>
      <c r="M48" s="693">
        <v>4000</v>
      </c>
      <c r="N48" s="518">
        <f t="shared" si="3"/>
        <v>922</v>
      </c>
      <c r="O48" s="508">
        <f t="shared" si="0"/>
        <v>313.23910560227904</v>
      </c>
      <c r="P48" s="508">
        <v>0.4</v>
      </c>
      <c r="Q48" s="686">
        <f t="shared" si="4"/>
        <v>37</v>
      </c>
      <c r="R48" s="507">
        <v>90</v>
      </c>
      <c r="S48" s="686">
        <f t="shared" si="14"/>
        <v>829.8000000000001</v>
      </c>
      <c r="T48" s="703">
        <v>0.2</v>
      </c>
      <c r="U48" s="687">
        <f t="shared" si="6"/>
        <v>93</v>
      </c>
      <c r="V48" s="518">
        <f t="shared" si="11"/>
        <v>1632.15</v>
      </c>
      <c r="W48" s="699">
        <v>33</v>
      </c>
      <c r="X48" s="686">
        <f t="shared" si="12"/>
        <v>538.6095</v>
      </c>
      <c r="Y48" s="508">
        <f>L48/M48</f>
        <v>13.5</v>
      </c>
      <c r="Z48" s="686">
        <f t="shared" si="8"/>
        <v>1272.239105602279</v>
      </c>
      <c r="AA48" s="508">
        <f t="shared" si="9"/>
        <v>3014.0595000000003</v>
      </c>
      <c r="AB48" s="694">
        <f t="shared" si="15"/>
        <v>4286.298605602279</v>
      </c>
    </row>
    <row r="49" spans="1:28" ht="12.75">
      <c r="A49" s="691">
        <v>41</v>
      </c>
      <c r="B49" s="507" t="s">
        <v>1241</v>
      </c>
      <c r="C49" s="692" t="s">
        <v>1242</v>
      </c>
      <c r="D49" s="692">
        <v>10</v>
      </c>
      <c r="E49" s="937">
        <f>'[2]AvePrice'!P48</f>
        <v>288745</v>
      </c>
      <c r="F49" s="693">
        <v>12000</v>
      </c>
      <c r="G49" s="693">
        <v>6</v>
      </c>
      <c r="H49" s="682">
        <f t="shared" si="10"/>
        <v>28874.5</v>
      </c>
      <c r="I49" s="696" t="s">
        <v>1243</v>
      </c>
      <c r="J49" s="693">
        <v>2</v>
      </c>
      <c r="K49" s="693">
        <v>605.76</v>
      </c>
      <c r="L49" s="684">
        <f t="shared" si="13"/>
        <v>1211.52</v>
      </c>
      <c r="M49" s="693">
        <v>2500</v>
      </c>
      <c r="N49" s="518">
        <f t="shared" si="3"/>
        <v>21.554914999999998</v>
      </c>
      <c r="O49" s="508">
        <f t="shared" si="0"/>
        <v>4.669302530105506</v>
      </c>
      <c r="P49" s="508">
        <v>0.4</v>
      </c>
      <c r="Q49" s="686">
        <f t="shared" si="4"/>
        <v>0.5774900000000001</v>
      </c>
      <c r="R49" s="507">
        <v>50</v>
      </c>
      <c r="S49" s="686">
        <f t="shared" si="14"/>
        <v>10.777457499999999</v>
      </c>
      <c r="T49" s="507">
        <v>0.14</v>
      </c>
      <c r="U49" s="687">
        <f t="shared" si="6"/>
        <v>1.4000000000000001</v>
      </c>
      <c r="V49" s="518">
        <f t="shared" si="11"/>
        <v>24.570000000000004</v>
      </c>
      <c r="W49" s="699">
        <v>12.5</v>
      </c>
      <c r="X49" s="686">
        <f t="shared" si="12"/>
        <v>3.0712500000000005</v>
      </c>
      <c r="Y49" s="508">
        <f>L49/M49</f>
        <v>0.484608</v>
      </c>
      <c r="Z49" s="686">
        <f t="shared" si="8"/>
        <v>26.801707530105507</v>
      </c>
      <c r="AA49" s="508">
        <f t="shared" si="9"/>
        <v>38.903315500000005</v>
      </c>
      <c r="AB49" s="694">
        <f t="shared" si="15"/>
        <v>65.70502303010551</v>
      </c>
    </row>
    <row r="50" spans="1:28" ht="12.75">
      <c r="A50" s="691">
        <v>42</v>
      </c>
      <c r="B50" s="507" t="s">
        <v>1244</v>
      </c>
      <c r="C50" s="692" t="s">
        <v>1245</v>
      </c>
      <c r="D50" s="692">
        <v>170</v>
      </c>
      <c r="E50" s="937">
        <f>'[2]AvePrice'!P49</f>
        <v>1477125</v>
      </c>
      <c r="F50" s="693">
        <v>15000</v>
      </c>
      <c r="G50" s="697">
        <v>7.5</v>
      </c>
      <c r="H50" s="682">
        <f t="shared" si="10"/>
        <v>147712.5</v>
      </c>
      <c r="I50" s="696" t="s">
        <v>1235</v>
      </c>
      <c r="J50" s="693">
        <v>4</v>
      </c>
      <c r="K50" s="693">
        <v>1800</v>
      </c>
      <c r="L50" s="684">
        <f t="shared" si="13"/>
        <v>7200</v>
      </c>
      <c r="M50" s="693">
        <v>2200</v>
      </c>
      <c r="N50" s="518">
        <f t="shared" si="3"/>
        <v>88.1475</v>
      </c>
      <c r="O50" s="508">
        <f t="shared" si="0"/>
        <v>24.44008187329027</v>
      </c>
      <c r="P50" s="508">
        <v>0.4</v>
      </c>
      <c r="Q50" s="686">
        <f t="shared" si="4"/>
        <v>2.95425</v>
      </c>
      <c r="R50" s="507">
        <v>80</v>
      </c>
      <c r="S50" s="686">
        <f t="shared" si="14"/>
        <v>70.518</v>
      </c>
      <c r="T50" s="703">
        <v>0.14</v>
      </c>
      <c r="U50" s="687">
        <f t="shared" si="6"/>
        <v>23.8</v>
      </c>
      <c r="V50" s="518">
        <f t="shared" si="11"/>
        <v>417.69000000000005</v>
      </c>
      <c r="W50" s="699">
        <v>20</v>
      </c>
      <c r="X50" s="686">
        <f t="shared" si="12"/>
        <v>83.53800000000001</v>
      </c>
      <c r="Y50" s="508">
        <f>L50/M50</f>
        <v>3.272727272727273</v>
      </c>
      <c r="Z50" s="686">
        <f t="shared" si="8"/>
        <v>115.54183187329026</v>
      </c>
      <c r="AA50" s="508">
        <f t="shared" si="9"/>
        <v>575.0187272727273</v>
      </c>
      <c r="AB50" s="694">
        <f t="shared" si="15"/>
        <v>690.5605591460176</v>
      </c>
    </row>
    <row r="51" spans="1:28" ht="12.75">
      <c r="A51" s="691">
        <v>43</v>
      </c>
      <c r="B51" s="507" t="s">
        <v>1246</v>
      </c>
      <c r="C51" s="692" t="s">
        <v>1247</v>
      </c>
      <c r="D51" s="692">
        <v>4</v>
      </c>
      <c r="E51" s="937">
        <f>'[2]AvePrice'!P50</f>
        <v>15940</v>
      </c>
      <c r="F51" s="693">
        <v>8000</v>
      </c>
      <c r="G51" s="693">
        <v>4</v>
      </c>
      <c r="H51" s="682">
        <f t="shared" si="10"/>
        <v>1594</v>
      </c>
      <c r="I51" s="696"/>
      <c r="J51" s="693"/>
      <c r="K51" s="693"/>
      <c r="L51" s="684">
        <f t="shared" si="13"/>
        <v>0</v>
      </c>
      <c r="M51" s="693">
        <v>0</v>
      </c>
      <c r="N51" s="518">
        <f t="shared" si="3"/>
        <v>1.79325</v>
      </c>
      <c r="O51" s="508">
        <f t="shared" si="0"/>
        <v>0.2500763039249998</v>
      </c>
      <c r="P51" s="508">
        <v>0.4</v>
      </c>
      <c r="Q51" s="686">
        <f t="shared" si="4"/>
        <v>0.03188</v>
      </c>
      <c r="R51" s="507">
        <v>50</v>
      </c>
      <c r="S51" s="686">
        <f t="shared" si="14"/>
        <v>0.896625</v>
      </c>
      <c r="T51" s="507">
        <v>0.14</v>
      </c>
      <c r="U51" s="687">
        <f t="shared" si="6"/>
        <v>0.56</v>
      </c>
      <c r="V51" s="518">
        <f t="shared" si="11"/>
        <v>9.828000000000001</v>
      </c>
      <c r="W51" s="699">
        <v>7</v>
      </c>
      <c r="X51" s="686">
        <f t="shared" si="12"/>
        <v>0.68796</v>
      </c>
      <c r="Y51" s="698">
        <v>0</v>
      </c>
      <c r="Z51" s="686">
        <f t="shared" si="8"/>
        <v>2.075206303925</v>
      </c>
      <c r="AA51" s="508">
        <f t="shared" si="9"/>
        <v>11.412585000000002</v>
      </c>
      <c r="AB51" s="694">
        <f t="shared" si="15"/>
        <v>13.487791303925002</v>
      </c>
    </row>
    <row r="52" spans="1:28" ht="13.5" thickBot="1">
      <c r="A52" s="704">
        <v>44</v>
      </c>
      <c r="B52" s="705" t="s">
        <v>1248</v>
      </c>
      <c r="C52" s="706" t="s">
        <v>1249</v>
      </c>
      <c r="D52" s="706">
        <v>15</v>
      </c>
      <c r="E52" s="937">
        <f>'[2]AvePrice'!P51</f>
        <v>119490</v>
      </c>
      <c r="F52" s="707">
        <v>16000</v>
      </c>
      <c r="G52" s="707">
        <v>8</v>
      </c>
      <c r="H52" s="682">
        <f t="shared" si="10"/>
        <v>11949</v>
      </c>
      <c r="I52" s="696" t="s">
        <v>1250</v>
      </c>
      <c r="J52" s="693">
        <v>2</v>
      </c>
      <c r="K52" s="693">
        <v>484.41</v>
      </c>
      <c r="L52" s="684">
        <f t="shared" si="13"/>
        <v>968.82</v>
      </c>
      <c r="M52" s="693">
        <v>2500</v>
      </c>
      <c r="N52" s="518">
        <f t="shared" si="3"/>
        <v>6.660761249999999</v>
      </c>
      <c r="O52" s="508">
        <f t="shared" si="0"/>
        <v>1.9922723140628893</v>
      </c>
      <c r="P52" s="508">
        <v>0.4</v>
      </c>
      <c r="Q52" s="686">
        <f t="shared" si="4"/>
        <v>0.23898</v>
      </c>
      <c r="R52" s="705">
        <v>50</v>
      </c>
      <c r="S52" s="686">
        <f t="shared" si="14"/>
        <v>3.3303806249999997</v>
      </c>
      <c r="T52" s="705">
        <v>0.14</v>
      </c>
      <c r="U52" s="687">
        <f t="shared" si="6"/>
        <v>2.1</v>
      </c>
      <c r="V52" s="518">
        <f t="shared" si="11"/>
        <v>36.855000000000004</v>
      </c>
      <c r="W52" s="705">
        <v>14</v>
      </c>
      <c r="X52" s="686">
        <f t="shared" si="12"/>
        <v>5.1597</v>
      </c>
      <c r="Y52" s="708">
        <f>L52/M52</f>
        <v>0.38752800000000004</v>
      </c>
      <c r="Z52" s="686">
        <f t="shared" si="8"/>
        <v>8.892013564062887</v>
      </c>
      <c r="AA52" s="708">
        <f t="shared" si="9"/>
        <v>45.732608625000005</v>
      </c>
      <c r="AB52" s="709">
        <f t="shared" si="15"/>
        <v>54.62462218906289</v>
      </c>
    </row>
    <row r="53" spans="1:28" s="930" customFormat="1" ht="12.75">
      <c r="A53" s="956">
        <v>45</v>
      </c>
      <c r="B53" s="957" t="s">
        <v>1248</v>
      </c>
      <c r="C53" s="958" t="s">
        <v>1251</v>
      </c>
      <c r="D53" s="958">
        <v>25</v>
      </c>
      <c r="E53" s="940">
        <v>2947745</v>
      </c>
      <c r="F53" s="959">
        <v>16000</v>
      </c>
      <c r="G53" s="959">
        <v>8</v>
      </c>
      <c r="H53" s="945">
        <f t="shared" si="10"/>
        <v>294774.5</v>
      </c>
      <c r="I53" s="960" t="s">
        <v>1250</v>
      </c>
      <c r="J53" s="944">
        <v>2</v>
      </c>
      <c r="K53" s="944">
        <v>484.41</v>
      </c>
      <c r="L53" s="947">
        <f>J53*K53</f>
        <v>968.82</v>
      </c>
      <c r="M53" s="944">
        <v>2500</v>
      </c>
      <c r="N53" s="948">
        <f t="shared" si="3"/>
        <v>165.75010500000002</v>
      </c>
      <c r="O53" s="949">
        <f t="shared" si="0"/>
        <v>49.14813584749612</v>
      </c>
      <c r="P53" s="949">
        <v>0.4</v>
      </c>
      <c r="Q53" s="950">
        <f t="shared" si="4"/>
        <v>5.89549</v>
      </c>
      <c r="R53" s="942">
        <v>50</v>
      </c>
      <c r="S53" s="950">
        <f t="shared" si="14"/>
        <v>82.87505250000001</v>
      </c>
      <c r="T53" s="942">
        <v>0.14</v>
      </c>
      <c r="U53" s="951">
        <f t="shared" si="6"/>
        <v>3.5000000000000004</v>
      </c>
      <c r="V53" s="948">
        <f t="shared" si="11"/>
        <v>61.42500000000001</v>
      </c>
      <c r="W53" s="942">
        <v>14</v>
      </c>
      <c r="X53" s="950">
        <f t="shared" si="12"/>
        <v>8.5995</v>
      </c>
      <c r="Y53" s="949">
        <f>L53/M53</f>
        <v>0.38752800000000004</v>
      </c>
      <c r="Z53" s="950">
        <f t="shared" si="8"/>
        <v>220.79373084749614</v>
      </c>
      <c r="AA53" s="949">
        <f>S53+V53+X53+Y53</f>
        <v>153.28708050000003</v>
      </c>
      <c r="AB53" s="952">
        <f>Z53+AA53</f>
        <v>374.08081134749614</v>
      </c>
    </row>
    <row r="54" spans="1:28" s="438" customFormat="1" ht="12.75">
      <c r="A54" s="871">
        <v>46</v>
      </c>
      <c r="B54" s="437" t="s">
        <v>1326</v>
      </c>
      <c r="C54" s="872" t="s">
        <v>1327</v>
      </c>
      <c r="D54" s="872">
        <v>270</v>
      </c>
      <c r="E54" s="938">
        <v>1668018.85</v>
      </c>
      <c r="F54" s="858">
        <v>15000</v>
      </c>
      <c r="G54" s="873">
        <v>7.5</v>
      </c>
      <c r="H54" s="858">
        <f t="shared" si="10"/>
        <v>166801.885</v>
      </c>
      <c r="I54" s="860" t="s">
        <v>1592</v>
      </c>
      <c r="J54" s="857">
        <v>10</v>
      </c>
      <c r="K54" s="861">
        <v>1924.23</v>
      </c>
      <c r="L54" s="861">
        <f aca="true" t="shared" si="16" ref="L54:L80">J54*K54</f>
        <v>19242.3</v>
      </c>
      <c r="M54" s="857">
        <v>1800</v>
      </c>
      <c r="N54" s="540">
        <f t="shared" si="3"/>
        <v>98.798311</v>
      </c>
      <c r="O54" s="416">
        <f t="shared" si="0"/>
        <v>27.598556154822028</v>
      </c>
      <c r="P54" s="416">
        <v>0.4</v>
      </c>
      <c r="Q54" s="862">
        <f t="shared" si="4"/>
        <v>3.3360377000000003</v>
      </c>
      <c r="R54" s="420">
        <v>80</v>
      </c>
      <c r="S54" s="862">
        <f t="shared" si="14"/>
        <v>79.0386488</v>
      </c>
      <c r="T54" s="420">
        <v>0.14</v>
      </c>
      <c r="U54" s="493">
        <f t="shared" si="6"/>
        <v>37.800000000000004</v>
      </c>
      <c r="V54" s="540">
        <f t="shared" si="11"/>
        <v>663.3900000000001</v>
      </c>
      <c r="W54" s="420">
        <v>14</v>
      </c>
      <c r="X54" s="862">
        <f t="shared" si="12"/>
        <v>92.87460000000002</v>
      </c>
      <c r="Y54" s="416">
        <f>L54/M54</f>
        <v>10.690166666666666</v>
      </c>
      <c r="Z54" s="862">
        <f t="shared" si="8"/>
        <v>129.732904854822</v>
      </c>
      <c r="AA54" s="416">
        <f>S54+V54+X54+Y54</f>
        <v>845.9934154666668</v>
      </c>
      <c r="AB54" s="863">
        <f>Z54+AA54</f>
        <v>975.7263203214887</v>
      </c>
    </row>
    <row r="55" spans="1:28" ht="12.75">
      <c r="A55" s="691">
        <v>47</v>
      </c>
      <c r="B55" s="507" t="s">
        <v>1328</v>
      </c>
      <c r="C55" s="692" t="s">
        <v>1329</v>
      </c>
      <c r="D55" s="692">
        <v>70</v>
      </c>
      <c r="E55" s="937">
        <f>'[2]AvePrice'!P54</f>
        <v>1159000</v>
      </c>
      <c r="F55" s="693">
        <v>15000</v>
      </c>
      <c r="G55" s="697">
        <v>7.5</v>
      </c>
      <c r="H55" s="682">
        <f t="shared" si="10"/>
        <v>115900</v>
      </c>
      <c r="I55" s="696"/>
      <c r="J55" s="693"/>
      <c r="K55" s="693"/>
      <c r="L55" s="684">
        <f t="shared" si="16"/>
        <v>0</v>
      </c>
      <c r="M55" s="693">
        <v>0</v>
      </c>
      <c r="N55" s="518">
        <f t="shared" si="3"/>
        <v>69.54</v>
      </c>
      <c r="O55" s="508">
        <f t="shared" si="0"/>
        <v>19.176477881792955</v>
      </c>
      <c r="P55" s="508">
        <v>0.4</v>
      </c>
      <c r="Q55" s="686">
        <f t="shared" si="4"/>
        <v>2.318</v>
      </c>
      <c r="R55" s="507">
        <v>90</v>
      </c>
      <c r="S55" s="686">
        <f t="shared" si="14"/>
        <v>62.586000000000006</v>
      </c>
      <c r="T55" s="507">
        <v>0.2</v>
      </c>
      <c r="U55" s="687">
        <f t="shared" si="6"/>
        <v>14</v>
      </c>
      <c r="V55" s="518">
        <f t="shared" si="11"/>
        <v>245.70000000000002</v>
      </c>
      <c r="W55" s="507">
        <v>33</v>
      </c>
      <c r="X55" s="686">
        <f t="shared" si="12"/>
        <v>81.081</v>
      </c>
      <c r="Y55" s="698">
        <v>0</v>
      </c>
      <c r="Z55" s="686">
        <f t="shared" si="8"/>
        <v>91.03447788179297</v>
      </c>
      <c r="AA55" s="508">
        <f t="shared" si="9"/>
        <v>389.367</v>
      </c>
      <c r="AB55" s="694">
        <f t="shared" si="15"/>
        <v>480.40147788179297</v>
      </c>
    </row>
    <row r="56" spans="1:28" ht="12.75">
      <c r="A56" s="691">
        <v>48</v>
      </c>
      <c r="B56" s="507" t="s">
        <v>1328</v>
      </c>
      <c r="C56" s="692" t="s">
        <v>1330</v>
      </c>
      <c r="D56" s="692">
        <v>210</v>
      </c>
      <c r="E56" s="937">
        <f>'[2]AvePrice'!P55</f>
        <v>5250270</v>
      </c>
      <c r="F56" s="693">
        <v>16000</v>
      </c>
      <c r="G56" s="693">
        <v>8</v>
      </c>
      <c r="H56" s="682">
        <f t="shared" si="10"/>
        <v>525027</v>
      </c>
      <c r="I56" s="696"/>
      <c r="J56" s="693"/>
      <c r="K56" s="693"/>
      <c r="L56" s="684">
        <f t="shared" si="16"/>
        <v>0</v>
      </c>
      <c r="M56" s="693">
        <v>0</v>
      </c>
      <c r="N56" s="518">
        <f t="shared" si="3"/>
        <v>295.3276875</v>
      </c>
      <c r="O56" s="508">
        <f t="shared" si="0"/>
        <v>87.53843470043489</v>
      </c>
      <c r="P56" s="508">
        <v>0.4</v>
      </c>
      <c r="Q56" s="686">
        <f t="shared" si="4"/>
        <v>10.50054</v>
      </c>
      <c r="R56" s="507">
        <v>90</v>
      </c>
      <c r="S56" s="686">
        <f t="shared" si="14"/>
        <v>265.79491875</v>
      </c>
      <c r="T56" s="507">
        <v>0.2</v>
      </c>
      <c r="U56" s="687">
        <f t="shared" si="6"/>
        <v>42</v>
      </c>
      <c r="V56" s="518">
        <f t="shared" si="11"/>
        <v>737.1</v>
      </c>
      <c r="W56" s="507">
        <v>33</v>
      </c>
      <c r="X56" s="686">
        <f t="shared" si="12"/>
        <v>243.243</v>
      </c>
      <c r="Y56" s="698">
        <v>0</v>
      </c>
      <c r="Z56" s="686">
        <f t="shared" si="8"/>
        <v>393.3666622004349</v>
      </c>
      <c r="AA56" s="508">
        <f t="shared" si="9"/>
        <v>1246.13791875</v>
      </c>
      <c r="AB56" s="694">
        <f t="shared" si="15"/>
        <v>1639.504580950435</v>
      </c>
    </row>
    <row r="57" spans="1:28" ht="12.75">
      <c r="A57" s="691">
        <v>49</v>
      </c>
      <c r="B57" s="507" t="s">
        <v>1756</v>
      </c>
      <c r="C57" s="692" t="s">
        <v>1757</v>
      </c>
      <c r="D57" s="692">
        <v>145</v>
      </c>
      <c r="E57" s="937">
        <f>'[2]AvePrice'!P56</f>
        <v>11242300</v>
      </c>
      <c r="F57" s="693">
        <v>15000</v>
      </c>
      <c r="G57" s="697">
        <v>7.5</v>
      </c>
      <c r="H57" s="682">
        <f t="shared" si="10"/>
        <v>1124230</v>
      </c>
      <c r="I57" s="696"/>
      <c r="J57" s="693"/>
      <c r="K57" s="693"/>
      <c r="L57" s="684">
        <f t="shared" si="16"/>
        <v>0</v>
      </c>
      <c r="M57" s="693">
        <v>0</v>
      </c>
      <c r="N57" s="518">
        <f t="shared" si="3"/>
        <v>674.538</v>
      </c>
      <c r="O57" s="508">
        <f t="shared" si="0"/>
        <v>186.01183545339168</v>
      </c>
      <c r="P57" s="508">
        <v>1.2</v>
      </c>
      <c r="Q57" s="686">
        <f t="shared" si="4"/>
        <v>67.4538</v>
      </c>
      <c r="R57" s="507">
        <v>90</v>
      </c>
      <c r="S57" s="686">
        <f t="shared" si="14"/>
        <v>607.0842</v>
      </c>
      <c r="T57" s="507">
        <v>0.14</v>
      </c>
      <c r="U57" s="687">
        <f t="shared" si="6"/>
        <v>20.3</v>
      </c>
      <c r="V57" s="518">
        <f t="shared" si="11"/>
        <v>356.26500000000004</v>
      </c>
      <c r="W57" s="507">
        <v>25</v>
      </c>
      <c r="X57" s="686">
        <f t="shared" si="12"/>
        <v>89.06625000000003</v>
      </c>
      <c r="Y57" s="698">
        <v>0</v>
      </c>
      <c r="Z57" s="686">
        <f t="shared" si="8"/>
        <v>928.0036354533917</v>
      </c>
      <c r="AA57" s="508">
        <f t="shared" si="9"/>
        <v>1052.4154500000002</v>
      </c>
      <c r="AB57" s="694">
        <f t="shared" si="15"/>
        <v>1980.4190854533917</v>
      </c>
    </row>
    <row r="58" spans="1:28" ht="12.75">
      <c r="A58" s="691">
        <v>50</v>
      </c>
      <c r="B58" s="507" t="s">
        <v>1758</v>
      </c>
      <c r="C58" s="692" t="s">
        <v>1759</v>
      </c>
      <c r="D58" s="692">
        <v>65</v>
      </c>
      <c r="E58" s="937">
        <f>'[2]AvePrice'!P57</f>
        <v>216945</v>
      </c>
      <c r="F58" s="693">
        <v>15000</v>
      </c>
      <c r="G58" s="697">
        <v>7.5</v>
      </c>
      <c r="H58" s="682">
        <f t="shared" si="10"/>
        <v>21694.5</v>
      </c>
      <c r="I58" s="696" t="s">
        <v>1250</v>
      </c>
      <c r="J58" s="693">
        <v>2</v>
      </c>
      <c r="K58" s="693">
        <v>484.41</v>
      </c>
      <c r="L58" s="684">
        <f t="shared" si="16"/>
        <v>968.82</v>
      </c>
      <c r="M58" s="693">
        <v>2500</v>
      </c>
      <c r="N58" s="518">
        <f t="shared" si="3"/>
        <v>12.952112</v>
      </c>
      <c r="O58" s="508">
        <f t="shared" si="0"/>
        <v>3.5895090544137815</v>
      </c>
      <c r="P58" s="508">
        <v>0.4</v>
      </c>
      <c r="Q58" s="686">
        <f t="shared" si="4"/>
        <v>0.43388999999999994</v>
      </c>
      <c r="R58" s="507">
        <v>50</v>
      </c>
      <c r="S58" s="686">
        <f t="shared" si="14"/>
        <v>6.476056</v>
      </c>
      <c r="T58" s="507">
        <v>0.14</v>
      </c>
      <c r="U58" s="687">
        <f t="shared" si="6"/>
        <v>9.100000000000001</v>
      </c>
      <c r="V58" s="518">
        <f t="shared" si="11"/>
        <v>159.70500000000004</v>
      </c>
      <c r="W58" s="507">
        <v>14</v>
      </c>
      <c r="X58" s="686">
        <f t="shared" si="12"/>
        <v>22.35870000000001</v>
      </c>
      <c r="Y58" s="508">
        <f>L58/M58</f>
        <v>0.38752800000000004</v>
      </c>
      <c r="Z58" s="686">
        <f t="shared" si="8"/>
        <v>16.975511054413783</v>
      </c>
      <c r="AA58" s="508">
        <f t="shared" si="9"/>
        <v>188.92728400000004</v>
      </c>
      <c r="AB58" s="694">
        <f t="shared" si="15"/>
        <v>205.90279505441382</v>
      </c>
    </row>
    <row r="59" spans="1:28" ht="12.75">
      <c r="A59" s="691">
        <v>51</v>
      </c>
      <c r="B59" s="507" t="s">
        <v>1758</v>
      </c>
      <c r="C59" s="692" t="s">
        <v>1760</v>
      </c>
      <c r="D59" s="692">
        <v>90</v>
      </c>
      <c r="E59" s="937">
        <f>'[2]AvePrice'!P58</f>
        <v>242235</v>
      </c>
      <c r="F59" s="693">
        <v>15000</v>
      </c>
      <c r="G59" s="697">
        <v>7.5</v>
      </c>
      <c r="H59" s="682">
        <f t="shared" si="10"/>
        <v>24223.5</v>
      </c>
      <c r="I59" s="696" t="s">
        <v>1250</v>
      </c>
      <c r="J59" s="693">
        <v>2</v>
      </c>
      <c r="K59" s="693">
        <v>484.41</v>
      </c>
      <c r="L59" s="684">
        <f t="shared" si="16"/>
        <v>968.82</v>
      </c>
      <c r="M59" s="693">
        <v>2500</v>
      </c>
      <c r="N59" s="518">
        <f t="shared" si="3"/>
        <v>14.469512</v>
      </c>
      <c r="O59" s="508">
        <f t="shared" si="0"/>
        <v>4.0079500601347</v>
      </c>
      <c r="P59" s="508">
        <v>0.4</v>
      </c>
      <c r="Q59" s="686">
        <f t="shared" si="4"/>
        <v>0.48447</v>
      </c>
      <c r="R59" s="507">
        <v>50</v>
      </c>
      <c r="S59" s="686">
        <f t="shared" si="14"/>
        <v>7.234756</v>
      </c>
      <c r="T59" s="507">
        <v>0.14</v>
      </c>
      <c r="U59" s="687">
        <f t="shared" si="6"/>
        <v>12.600000000000001</v>
      </c>
      <c r="V59" s="518">
        <f t="shared" si="11"/>
        <v>221.13000000000002</v>
      </c>
      <c r="W59" s="507">
        <v>14</v>
      </c>
      <c r="X59" s="686">
        <f t="shared" si="12"/>
        <v>30.9582</v>
      </c>
      <c r="Y59" s="508">
        <f>L59/M59</f>
        <v>0.38752800000000004</v>
      </c>
      <c r="Z59" s="686">
        <f t="shared" si="8"/>
        <v>18.9619320601347</v>
      </c>
      <c r="AA59" s="508">
        <f t="shared" si="9"/>
        <v>259.710484</v>
      </c>
      <c r="AB59" s="694">
        <f t="shared" si="15"/>
        <v>278.6724160601347</v>
      </c>
    </row>
    <row r="60" spans="1:28" ht="12.75">
      <c r="A60" s="691">
        <v>52</v>
      </c>
      <c r="B60" s="507" t="s">
        <v>1758</v>
      </c>
      <c r="C60" s="692" t="s">
        <v>1761</v>
      </c>
      <c r="D60" s="692">
        <v>155</v>
      </c>
      <c r="E60" s="937">
        <f>'[2]AvePrice'!P59</f>
        <v>609730</v>
      </c>
      <c r="F60" s="693">
        <v>15000</v>
      </c>
      <c r="G60" s="697">
        <v>7.5</v>
      </c>
      <c r="H60" s="682">
        <f t="shared" si="10"/>
        <v>60973</v>
      </c>
      <c r="I60" s="696" t="s">
        <v>1243</v>
      </c>
      <c r="J60" s="693">
        <v>2</v>
      </c>
      <c r="K60" s="693">
        <v>605.76</v>
      </c>
      <c r="L60" s="684">
        <f t="shared" si="16"/>
        <v>1211.52</v>
      </c>
      <c r="M60" s="693">
        <v>2500</v>
      </c>
      <c r="N60" s="518">
        <f t="shared" si="3"/>
        <v>36.503032</v>
      </c>
      <c r="O60" s="508">
        <f t="shared" si="0"/>
        <v>10.088415753982416</v>
      </c>
      <c r="P60" s="508">
        <v>0.4</v>
      </c>
      <c r="Q60" s="686">
        <f t="shared" si="4"/>
        <v>1.21946</v>
      </c>
      <c r="R60" s="507">
        <v>50</v>
      </c>
      <c r="S60" s="686">
        <f t="shared" si="14"/>
        <v>18.251516</v>
      </c>
      <c r="T60" s="507">
        <v>0.14</v>
      </c>
      <c r="U60" s="687">
        <f t="shared" si="6"/>
        <v>21.700000000000003</v>
      </c>
      <c r="V60" s="518">
        <f t="shared" si="11"/>
        <v>380.8350000000001</v>
      </c>
      <c r="W60" s="507">
        <v>14</v>
      </c>
      <c r="X60" s="686">
        <f t="shared" si="12"/>
        <v>53.31690000000001</v>
      </c>
      <c r="Y60" s="508">
        <f>L60/M60</f>
        <v>0.484608</v>
      </c>
      <c r="Z60" s="686">
        <f t="shared" si="8"/>
        <v>47.81090775398241</v>
      </c>
      <c r="AA60" s="508">
        <f t="shared" si="9"/>
        <v>452.8880240000001</v>
      </c>
      <c r="AB60" s="694">
        <f t="shared" si="15"/>
        <v>500.6989317539825</v>
      </c>
    </row>
    <row r="61" spans="1:28" s="930" customFormat="1" ht="12.75">
      <c r="A61" s="941">
        <v>53</v>
      </c>
      <c r="B61" s="942" t="s">
        <v>1762</v>
      </c>
      <c r="C61" s="943" t="s">
        <v>1763</v>
      </c>
      <c r="D61" s="943">
        <v>25</v>
      </c>
      <c r="E61" s="940">
        <f>(308505+336946+373516)/3</f>
        <v>339655.6666666667</v>
      </c>
      <c r="F61" s="944">
        <v>13000</v>
      </c>
      <c r="G61" s="961">
        <v>6.5</v>
      </c>
      <c r="H61" s="945">
        <f t="shared" si="10"/>
        <v>33965.56666666667</v>
      </c>
      <c r="I61" s="948"/>
      <c r="J61" s="944"/>
      <c r="K61" s="944"/>
      <c r="L61" s="947">
        <f t="shared" si="16"/>
        <v>0</v>
      </c>
      <c r="M61" s="944">
        <v>0</v>
      </c>
      <c r="N61" s="948">
        <f t="shared" si="3"/>
        <v>23.51462307692308</v>
      </c>
      <c r="O61" s="949">
        <f t="shared" si="0"/>
        <v>5.5345774736200735</v>
      </c>
      <c r="P61" s="949">
        <v>0.4</v>
      </c>
      <c r="Q61" s="950">
        <f t="shared" si="4"/>
        <v>0.6793113333333334</v>
      </c>
      <c r="R61" s="942">
        <v>50</v>
      </c>
      <c r="S61" s="950">
        <f t="shared" si="14"/>
        <v>11.75731153846154</v>
      </c>
      <c r="T61" s="942">
        <v>0.2</v>
      </c>
      <c r="U61" s="951">
        <f t="shared" si="6"/>
        <v>5</v>
      </c>
      <c r="V61" s="948">
        <f t="shared" si="11"/>
        <v>87.75</v>
      </c>
      <c r="W61" s="942">
        <v>14</v>
      </c>
      <c r="X61" s="950">
        <f t="shared" si="12"/>
        <v>12.285</v>
      </c>
      <c r="Y61" s="955">
        <v>0</v>
      </c>
      <c r="Z61" s="950">
        <f t="shared" si="8"/>
        <v>29.72851188387649</v>
      </c>
      <c r="AA61" s="949">
        <f t="shared" si="9"/>
        <v>111.79231153846153</v>
      </c>
      <c r="AB61" s="952">
        <f t="shared" si="15"/>
        <v>141.52082342233803</v>
      </c>
    </row>
    <row r="62" spans="1:28" s="930" customFormat="1" ht="12.75">
      <c r="A62" s="941">
        <v>54</v>
      </c>
      <c r="B62" s="942" t="s">
        <v>1762</v>
      </c>
      <c r="C62" s="943" t="s">
        <v>1764</v>
      </c>
      <c r="D62" s="943">
        <v>60</v>
      </c>
      <c r="E62" s="940">
        <v>414061</v>
      </c>
      <c r="F62" s="944">
        <v>16000</v>
      </c>
      <c r="G62" s="944">
        <v>8</v>
      </c>
      <c r="H62" s="945">
        <f t="shared" si="10"/>
        <v>41406.1</v>
      </c>
      <c r="I62" s="948"/>
      <c r="J62" s="944"/>
      <c r="K62" s="944"/>
      <c r="L62" s="947">
        <f t="shared" si="16"/>
        <v>0</v>
      </c>
      <c r="M62" s="944">
        <v>0</v>
      </c>
      <c r="N62" s="948">
        <f t="shared" si="3"/>
        <v>23.29093125</v>
      </c>
      <c r="O62" s="949">
        <f t="shared" si="0"/>
        <v>6.903692916839852</v>
      </c>
      <c r="P62" s="949">
        <v>0.4</v>
      </c>
      <c r="Q62" s="950">
        <f t="shared" si="4"/>
        <v>0.828122</v>
      </c>
      <c r="R62" s="942">
        <v>50</v>
      </c>
      <c r="S62" s="950">
        <f t="shared" si="14"/>
        <v>11.645465625</v>
      </c>
      <c r="T62" s="942">
        <v>0.2</v>
      </c>
      <c r="U62" s="951">
        <f t="shared" si="6"/>
        <v>12</v>
      </c>
      <c r="V62" s="948">
        <f t="shared" si="11"/>
        <v>210.60000000000002</v>
      </c>
      <c r="W62" s="942">
        <v>14</v>
      </c>
      <c r="X62" s="950">
        <f t="shared" si="12"/>
        <v>29.484000000000005</v>
      </c>
      <c r="Y62" s="955">
        <v>0</v>
      </c>
      <c r="Z62" s="950">
        <f t="shared" si="8"/>
        <v>31.022746166839852</v>
      </c>
      <c r="AA62" s="949">
        <f t="shared" si="9"/>
        <v>251.72946562500002</v>
      </c>
      <c r="AB62" s="952">
        <f t="shared" si="15"/>
        <v>282.75221179183984</v>
      </c>
    </row>
    <row r="63" spans="1:28" s="930" customFormat="1" ht="12.75">
      <c r="A63" s="941">
        <v>55</v>
      </c>
      <c r="B63" s="942" t="s">
        <v>1762</v>
      </c>
      <c r="C63" s="943" t="s">
        <v>1765</v>
      </c>
      <c r="D63" s="943">
        <v>150</v>
      </c>
      <c r="E63" s="940">
        <f>(457086+510138+557173)/3</f>
        <v>508132.3333333333</v>
      </c>
      <c r="F63" s="944">
        <v>16000</v>
      </c>
      <c r="G63" s="944">
        <v>8</v>
      </c>
      <c r="H63" s="945">
        <f t="shared" si="10"/>
        <v>50813.23333333333</v>
      </c>
      <c r="I63" s="948"/>
      <c r="J63" s="944"/>
      <c r="K63" s="944"/>
      <c r="L63" s="947">
        <f t="shared" si="16"/>
        <v>0</v>
      </c>
      <c r="M63" s="944">
        <v>0</v>
      </c>
      <c r="N63" s="948">
        <f t="shared" si="3"/>
        <v>28.58244375</v>
      </c>
      <c r="O63" s="949">
        <f t="shared" si="0"/>
        <v>8.472156494938282</v>
      </c>
      <c r="P63" s="949">
        <v>0.4</v>
      </c>
      <c r="Q63" s="950">
        <f t="shared" si="4"/>
        <v>1.0162646666666666</v>
      </c>
      <c r="R63" s="942">
        <v>50</v>
      </c>
      <c r="S63" s="950">
        <f t="shared" si="14"/>
        <v>14.291221875</v>
      </c>
      <c r="T63" s="942">
        <v>0.2</v>
      </c>
      <c r="U63" s="951">
        <f t="shared" si="6"/>
        <v>30</v>
      </c>
      <c r="V63" s="948">
        <f t="shared" si="11"/>
        <v>526.5</v>
      </c>
      <c r="W63" s="942">
        <v>14</v>
      </c>
      <c r="X63" s="950">
        <f t="shared" si="12"/>
        <v>73.71</v>
      </c>
      <c r="Y63" s="955">
        <v>0</v>
      </c>
      <c r="Z63" s="950">
        <f t="shared" si="8"/>
        <v>38.07086491160495</v>
      </c>
      <c r="AA63" s="949">
        <f t="shared" si="9"/>
        <v>614.501221875</v>
      </c>
      <c r="AB63" s="952">
        <f t="shared" si="15"/>
        <v>652.572086786605</v>
      </c>
    </row>
    <row r="64" spans="1:28" s="930" customFormat="1" ht="12.75">
      <c r="A64" s="941">
        <v>56</v>
      </c>
      <c r="B64" s="942" t="s">
        <v>1762</v>
      </c>
      <c r="C64" s="943" t="s">
        <v>1766</v>
      </c>
      <c r="D64" s="943">
        <v>240</v>
      </c>
      <c r="E64" s="940">
        <f>(557173+678954+730730)/3</f>
        <v>655619</v>
      </c>
      <c r="F64" s="944">
        <v>16000</v>
      </c>
      <c r="G64" s="944">
        <v>8</v>
      </c>
      <c r="H64" s="945">
        <f t="shared" si="10"/>
        <v>65561.9</v>
      </c>
      <c r="I64" s="948"/>
      <c r="J64" s="944"/>
      <c r="K64" s="944"/>
      <c r="L64" s="947">
        <f t="shared" si="16"/>
        <v>0</v>
      </c>
      <c r="M64" s="944">
        <v>0</v>
      </c>
      <c r="N64" s="948">
        <f t="shared" si="3"/>
        <v>36.87856875</v>
      </c>
      <c r="O64" s="949">
        <f t="shared" si="0"/>
        <v>10.93122087432921</v>
      </c>
      <c r="P64" s="949">
        <v>0.4</v>
      </c>
      <c r="Q64" s="950">
        <f t="shared" si="4"/>
        <v>1.3112380000000003</v>
      </c>
      <c r="R64" s="942">
        <v>50</v>
      </c>
      <c r="S64" s="950">
        <f t="shared" si="14"/>
        <v>18.439284375</v>
      </c>
      <c r="T64" s="942">
        <v>0.2</v>
      </c>
      <c r="U64" s="951">
        <f t="shared" si="6"/>
        <v>48</v>
      </c>
      <c r="V64" s="948">
        <f t="shared" si="11"/>
        <v>842.4000000000001</v>
      </c>
      <c r="W64" s="942">
        <v>14</v>
      </c>
      <c r="X64" s="950">
        <f t="shared" si="12"/>
        <v>117.93600000000002</v>
      </c>
      <c r="Y64" s="955">
        <v>0</v>
      </c>
      <c r="Z64" s="950">
        <f t="shared" si="8"/>
        <v>49.121027624329216</v>
      </c>
      <c r="AA64" s="949">
        <f t="shared" si="9"/>
        <v>978.7752843750001</v>
      </c>
      <c r="AB64" s="952">
        <f t="shared" si="15"/>
        <v>1027.8963119993293</v>
      </c>
    </row>
    <row r="65" spans="1:28" s="930" customFormat="1" ht="12.75">
      <c r="A65" s="941">
        <v>57</v>
      </c>
      <c r="B65" s="942" t="s">
        <v>1762</v>
      </c>
      <c r="C65" s="943" t="s">
        <v>1767</v>
      </c>
      <c r="D65" s="943">
        <v>300</v>
      </c>
      <c r="E65" s="940">
        <f>(944030+987784+1014765)/3</f>
        <v>982193</v>
      </c>
      <c r="F65" s="944">
        <v>16000</v>
      </c>
      <c r="G65" s="944">
        <v>8</v>
      </c>
      <c r="H65" s="945">
        <f t="shared" si="10"/>
        <v>98219.3</v>
      </c>
      <c r="I65" s="948"/>
      <c r="J65" s="944"/>
      <c r="K65" s="944"/>
      <c r="L65" s="947">
        <f t="shared" si="16"/>
        <v>0</v>
      </c>
      <c r="M65" s="944">
        <v>0</v>
      </c>
      <c r="N65" s="948">
        <f t="shared" si="3"/>
        <v>55.24835625</v>
      </c>
      <c r="O65" s="949">
        <f t="shared" si="0"/>
        <v>16.376231659271664</v>
      </c>
      <c r="P65" s="949">
        <v>0.4</v>
      </c>
      <c r="Q65" s="950">
        <f t="shared" si="4"/>
        <v>1.964386</v>
      </c>
      <c r="R65" s="942">
        <v>50</v>
      </c>
      <c r="S65" s="950">
        <f t="shared" si="14"/>
        <v>27.624178125</v>
      </c>
      <c r="T65" s="942">
        <v>0.2</v>
      </c>
      <c r="U65" s="951">
        <f t="shared" si="6"/>
        <v>60</v>
      </c>
      <c r="V65" s="948">
        <f t="shared" si="11"/>
        <v>1053</v>
      </c>
      <c r="W65" s="942">
        <v>14</v>
      </c>
      <c r="X65" s="950">
        <f t="shared" si="12"/>
        <v>147.42</v>
      </c>
      <c r="Y65" s="955">
        <v>0</v>
      </c>
      <c r="Z65" s="950">
        <f t="shared" si="8"/>
        <v>73.58897390927167</v>
      </c>
      <c r="AA65" s="949">
        <f t="shared" si="9"/>
        <v>1228.0441781250001</v>
      </c>
      <c r="AB65" s="952">
        <f t="shared" si="15"/>
        <v>1301.633152034272</v>
      </c>
    </row>
    <row r="66" spans="1:28" ht="12.75">
      <c r="A66" s="691">
        <v>58</v>
      </c>
      <c r="B66" s="507" t="s">
        <v>1768</v>
      </c>
      <c r="C66" s="692" t="s">
        <v>1769</v>
      </c>
      <c r="D66" s="692">
        <v>8</v>
      </c>
      <c r="E66" s="937">
        <f>'[2]AvePrice'!P65</f>
        <v>48000</v>
      </c>
      <c r="F66" s="693">
        <v>8000</v>
      </c>
      <c r="G66" s="693">
        <v>4</v>
      </c>
      <c r="H66" s="682">
        <f t="shared" si="10"/>
        <v>4800</v>
      </c>
      <c r="I66" s="518"/>
      <c r="J66" s="693"/>
      <c r="K66" s="693"/>
      <c r="L66" s="684">
        <f t="shared" si="16"/>
        <v>0</v>
      </c>
      <c r="M66" s="693">
        <v>0</v>
      </c>
      <c r="N66" s="518">
        <f t="shared" si="3"/>
        <v>5.4</v>
      </c>
      <c r="O66" s="508">
        <f t="shared" si="0"/>
        <v>0.7530528599999995</v>
      </c>
      <c r="P66" s="508">
        <v>0.4</v>
      </c>
      <c r="Q66" s="686">
        <f t="shared" si="4"/>
        <v>0.096</v>
      </c>
      <c r="R66" s="507">
        <v>50</v>
      </c>
      <c r="S66" s="686">
        <f t="shared" si="14"/>
        <v>2.7</v>
      </c>
      <c r="T66" s="507">
        <v>0.2</v>
      </c>
      <c r="U66" s="687">
        <f t="shared" si="6"/>
        <v>1.6</v>
      </c>
      <c r="V66" s="518">
        <f t="shared" si="11"/>
        <v>28.080000000000002</v>
      </c>
      <c r="W66" s="507">
        <v>14</v>
      </c>
      <c r="X66" s="686">
        <f t="shared" si="12"/>
        <v>3.9312</v>
      </c>
      <c r="Y66" s="698">
        <v>0</v>
      </c>
      <c r="Z66" s="686">
        <f t="shared" si="8"/>
        <v>6.24905286</v>
      </c>
      <c r="AA66" s="508">
        <f t="shared" si="9"/>
        <v>34.7112</v>
      </c>
      <c r="AB66" s="694">
        <f t="shared" si="15"/>
        <v>40.96025286</v>
      </c>
    </row>
    <row r="67" spans="1:28" ht="12.75">
      <c r="A67" s="691">
        <v>59</v>
      </c>
      <c r="B67" s="507" t="s">
        <v>1770</v>
      </c>
      <c r="C67" s="692" t="s">
        <v>1771</v>
      </c>
      <c r="D67" s="692">
        <v>70</v>
      </c>
      <c r="E67" s="937">
        <f>'[2]AvePrice'!P66</f>
        <v>628930</v>
      </c>
      <c r="F67" s="693">
        <v>11000</v>
      </c>
      <c r="G67" s="697">
        <v>5.5</v>
      </c>
      <c r="H67" s="682">
        <f t="shared" si="10"/>
        <v>62893</v>
      </c>
      <c r="I67" s="696"/>
      <c r="J67" s="693">
        <v>4</v>
      </c>
      <c r="K67" s="693">
        <v>2100</v>
      </c>
      <c r="L67" s="684">
        <f t="shared" si="16"/>
        <v>8400</v>
      </c>
      <c r="M67" s="693">
        <v>2200</v>
      </c>
      <c r="N67" s="518">
        <f t="shared" si="3"/>
        <v>50.694272727272725</v>
      </c>
      <c r="O67" s="508">
        <f t="shared" si="0"/>
        <v>10.093450996812043</v>
      </c>
      <c r="P67" s="508">
        <v>0.4</v>
      </c>
      <c r="Q67" s="686">
        <f t="shared" si="4"/>
        <v>1.25786</v>
      </c>
      <c r="R67" s="507">
        <v>80</v>
      </c>
      <c r="S67" s="686">
        <f t="shared" si="14"/>
        <v>40.55541818181818</v>
      </c>
      <c r="T67" s="507">
        <v>0.14</v>
      </c>
      <c r="U67" s="687">
        <f t="shared" si="6"/>
        <v>9.8</v>
      </c>
      <c r="V67" s="518">
        <f t="shared" si="11"/>
        <v>171.99</v>
      </c>
      <c r="W67" s="507">
        <v>22</v>
      </c>
      <c r="X67" s="686">
        <f t="shared" si="12"/>
        <v>37.8378</v>
      </c>
      <c r="Y67" s="508">
        <f>L67/M67</f>
        <v>3.8181818181818183</v>
      </c>
      <c r="Z67" s="686">
        <f t="shared" si="8"/>
        <v>62.04558372408477</v>
      </c>
      <c r="AA67" s="508">
        <f t="shared" si="9"/>
        <v>254.20140000000004</v>
      </c>
      <c r="AB67" s="694">
        <f t="shared" si="15"/>
        <v>316.2469837240848</v>
      </c>
    </row>
    <row r="68" spans="1:28" ht="12.75">
      <c r="A68" s="691">
        <v>60</v>
      </c>
      <c r="B68" s="507" t="s">
        <v>1772</v>
      </c>
      <c r="C68" s="692" t="s">
        <v>1773</v>
      </c>
      <c r="D68" s="692">
        <v>8</v>
      </c>
      <c r="E68" s="937">
        <f>'[2]AvePrice'!P67</f>
        <v>168860</v>
      </c>
      <c r="F68" s="693">
        <v>16000</v>
      </c>
      <c r="G68" s="693">
        <v>8</v>
      </c>
      <c r="H68" s="682">
        <f t="shared" si="10"/>
        <v>16886</v>
      </c>
      <c r="I68" s="696"/>
      <c r="J68" s="693"/>
      <c r="K68" s="693"/>
      <c r="L68" s="684">
        <f t="shared" si="16"/>
        <v>0</v>
      </c>
      <c r="M68" s="693">
        <v>0</v>
      </c>
      <c r="N68" s="518">
        <f t="shared" si="3"/>
        <v>9.498375</v>
      </c>
      <c r="O68" s="508">
        <f t="shared" si="0"/>
        <v>2.8154247464445517</v>
      </c>
      <c r="P68" s="508">
        <v>0.4</v>
      </c>
      <c r="Q68" s="686">
        <f t="shared" si="4"/>
        <v>0.33772</v>
      </c>
      <c r="R68" s="507">
        <v>50</v>
      </c>
      <c r="S68" s="686">
        <f t="shared" si="14"/>
        <v>4.7491875</v>
      </c>
      <c r="T68" s="507">
        <v>0.14</v>
      </c>
      <c r="U68" s="687">
        <f t="shared" si="6"/>
        <v>1.12</v>
      </c>
      <c r="V68" s="518">
        <f t="shared" si="11"/>
        <v>19.656000000000002</v>
      </c>
      <c r="W68" s="699">
        <v>10</v>
      </c>
      <c r="X68" s="686">
        <f t="shared" si="12"/>
        <v>1.9656000000000002</v>
      </c>
      <c r="Y68" s="698">
        <v>0</v>
      </c>
      <c r="Z68" s="686">
        <f t="shared" si="8"/>
        <v>12.651519746444553</v>
      </c>
      <c r="AA68" s="508">
        <f t="shared" si="9"/>
        <v>26.370787500000006</v>
      </c>
      <c r="AB68" s="694">
        <f t="shared" si="15"/>
        <v>39.022307246444555</v>
      </c>
    </row>
    <row r="69" spans="1:28" ht="12.75">
      <c r="A69" s="691">
        <v>61</v>
      </c>
      <c r="B69" s="507" t="s">
        <v>1774</v>
      </c>
      <c r="C69" s="692" t="s">
        <v>1775</v>
      </c>
      <c r="D69" s="692">
        <v>55</v>
      </c>
      <c r="E69" s="937">
        <f>'[2]AvePrice'!P68</f>
        <v>184841</v>
      </c>
      <c r="F69" s="693">
        <v>10000</v>
      </c>
      <c r="G69" s="693">
        <v>5</v>
      </c>
      <c r="H69" s="682">
        <f t="shared" si="10"/>
        <v>18484.1</v>
      </c>
      <c r="I69" s="696"/>
      <c r="J69" s="693"/>
      <c r="K69" s="693"/>
      <c r="L69" s="684">
        <f t="shared" si="16"/>
        <v>0</v>
      </c>
      <c r="M69" s="693">
        <v>0</v>
      </c>
      <c r="N69" s="518">
        <f t="shared" si="3"/>
        <v>16.63569</v>
      </c>
      <c r="O69" s="508">
        <f t="shared" si="0"/>
        <v>2.944037916768627</v>
      </c>
      <c r="P69" s="508">
        <v>0.4</v>
      </c>
      <c r="Q69" s="686">
        <f t="shared" si="4"/>
        <v>0.369682</v>
      </c>
      <c r="R69" s="507">
        <v>50</v>
      </c>
      <c r="S69" s="686">
        <f t="shared" si="14"/>
        <v>8.317845</v>
      </c>
      <c r="T69" s="507">
        <v>0.14</v>
      </c>
      <c r="U69" s="687">
        <f t="shared" si="6"/>
        <v>7.700000000000001</v>
      </c>
      <c r="V69" s="518">
        <f t="shared" si="11"/>
        <v>135.13500000000002</v>
      </c>
      <c r="W69" s="507">
        <v>14</v>
      </c>
      <c r="X69" s="686">
        <f t="shared" si="12"/>
        <v>18.918900000000004</v>
      </c>
      <c r="Y69" s="698">
        <v>0</v>
      </c>
      <c r="Z69" s="686">
        <f t="shared" si="8"/>
        <v>19.949409916768627</v>
      </c>
      <c r="AA69" s="508">
        <f t="shared" si="9"/>
        <v>162.37174500000003</v>
      </c>
      <c r="AB69" s="694">
        <f t="shared" si="15"/>
        <v>182.32115491676865</v>
      </c>
    </row>
    <row r="70" spans="1:28" ht="12.75">
      <c r="A70" s="691">
        <v>62</v>
      </c>
      <c r="B70" s="507" t="s">
        <v>1776</v>
      </c>
      <c r="C70" s="692" t="s">
        <v>1777</v>
      </c>
      <c r="D70" s="692"/>
      <c r="E70" s="937">
        <f>'[2]AvePrice'!P69</f>
        <v>101020</v>
      </c>
      <c r="F70" s="693">
        <v>8000</v>
      </c>
      <c r="G70" s="693">
        <v>4</v>
      </c>
      <c r="H70" s="682">
        <f t="shared" si="10"/>
        <v>10102</v>
      </c>
      <c r="I70" s="696"/>
      <c r="J70" s="693"/>
      <c r="K70" s="693"/>
      <c r="L70" s="684">
        <f t="shared" si="16"/>
        <v>0</v>
      </c>
      <c r="M70" s="693">
        <v>0</v>
      </c>
      <c r="N70" s="518">
        <f t="shared" si="3"/>
        <v>11.36475</v>
      </c>
      <c r="O70" s="508">
        <f t="shared" si="0"/>
        <v>1.5848624982749988</v>
      </c>
      <c r="P70" s="508">
        <v>0.4</v>
      </c>
      <c r="Q70" s="686">
        <f t="shared" si="4"/>
        <v>0.20204</v>
      </c>
      <c r="R70" s="507">
        <v>50</v>
      </c>
      <c r="S70" s="686">
        <f t="shared" si="14"/>
        <v>5.682375</v>
      </c>
      <c r="T70" s="507">
        <v>0</v>
      </c>
      <c r="U70" s="687">
        <f t="shared" si="6"/>
        <v>0</v>
      </c>
      <c r="V70" s="518">
        <f t="shared" si="11"/>
        <v>0</v>
      </c>
      <c r="W70" s="699">
        <v>0</v>
      </c>
      <c r="X70" s="686">
        <f t="shared" si="12"/>
        <v>0</v>
      </c>
      <c r="Y70" s="698">
        <v>0</v>
      </c>
      <c r="Z70" s="686">
        <f t="shared" si="8"/>
        <v>13.151652498275</v>
      </c>
      <c r="AA70" s="508">
        <f t="shared" si="9"/>
        <v>5.682375</v>
      </c>
      <c r="AB70" s="694">
        <f t="shared" si="15"/>
        <v>18.834027498275</v>
      </c>
    </row>
    <row r="71" spans="1:28" ht="12.75">
      <c r="A71" s="691">
        <v>63</v>
      </c>
      <c r="B71" s="507" t="s">
        <v>1778</v>
      </c>
      <c r="C71" s="692" t="s">
        <v>1773</v>
      </c>
      <c r="D71" s="692">
        <v>120</v>
      </c>
      <c r="E71" s="937">
        <f>'[2]AvePrice'!P70</f>
        <v>268840</v>
      </c>
      <c r="F71" s="693">
        <v>11000</v>
      </c>
      <c r="G71" s="697">
        <v>5.5</v>
      </c>
      <c r="H71" s="682">
        <f t="shared" si="10"/>
        <v>26884</v>
      </c>
      <c r="I71" s="696" t="s">
        <v>1779</v>
      </c>
      <c r="J71" s="693">
        <v>4</v>
      </c>
      <c r="K71" s="693">
        <v>528.49</v>
      </c>
      <c r="L71" s="684">
        <f t="shared" si="16"/>
        <v>2113.96</v>
      </c>
      <c r="M71" s="693">
        <v>2100</v>
      </c>
      <c r="N71" s="518">
        <f t="shared" si="3"/>
        <v>21.803821818181817</v>
      </c>
      <c r="O71" s="508">
        <f aca="true" t="shared" si="17" ref="O71:O80">(E71*(((1+0.03)^(F71/2000))-1))/F71</f>
        <v>4.31450776077298</v>
      </c>
      <c r="P71" s="508">
        <v>1.6</v>
      </c>
      <c r="Q71" s="686">
        <f t="shared" si="4"/>
        <v>2.1507199999999997</v>
      </c>
      <c r="R71" s="507">
        <v>50</v>
      </c>
      <c r="S71" s="686">
        <f t="shared" si="14"/>
        <v>10.901910909090908</v>
      </c>
      <c r="T71" s="507">
        <v>0.14</v>
      </c>
      <c r="U71" s="687">
        <f t="shared" si="6"/>
        <v>16.8</v>
      </c>
      <c r="V71" s="518">
        <f t="shared" si="11"/>
        <v>294.84000000000003</v>
      </c>
      <c r="W71" s="507">
        <v>16</v>
      </c>
      <c r="X71" s="686">
        <f t="shared" si="12"/>
        <v>47.174400000000006</v>
      </c>
      <c r="Y71" s="508">
        <f>L71/M71</f>
        <v>1.006647619047619</v>
      </c>
      <c r="Z71" s="686">
        <f t="shared" si="8"/>
        <v>28.269049578954796</v>
      </c>
      <c r="AA71" s="508">
        <f t="shared" si="9"/>
        <v>353.92295852813857</v>
      </c>
      <c r="AB71" s="694">
        <f t="shared" si="15"/>
        <v>382.1920081070934</v>
      </c>
    </row>
    <row r="72" spans="1:28" s="930" customFormat="1" ht="12.75">
      <c r="A72" s="941">
        <v>64</v>
      </c>
      <c r="B72" s="942" t="s">
        <v>1780</v>
      </c>
      <c r="C72" s="943" t="s">
        <v>1781</v>
      </c>
      <c r="D72" s="943">
        <v>75</v>
      </c>
      <c r="E72" s="940">
        <v>2527588</v>
      </c>
      <c r="F72" s="944">
        <v>11000</v>
      </c>
      <c r="G72" s="961">
        <v>5.5</v>
      </c>
      <c r="H72" s="945">
        <f t="shared" si="10"/>
        <v>252758.8</v>
      </c>
      <c r="I72" s="960" t="s">
        <v>1243</v>
      </c>
      <c r="J72" s="944">
        <v>4</v>
      </c>
      <c r="K72" s="944">
        <v>605.76</v>
      </c>
      <c r="L72" s="947">
        <f t="shared" si="16"/>
        <v>2423.04</v>
      </c>
      <c r="M72" s="944">
        <v>2100</v>
      </c>
      <c r="N72" s="948">
        <f t="shared" si="3"/>
        <v>206.5823781818182</v>
      </c>
      <c r="O72" s="949">
        <f t="shared" si="17"/>
        <v>40.56426886637648</v>
      </c>
      <c r="P72" s="949">
        <v>1.6</v>
      </c>
      <c r="Q72" s="950">
        <f aca="true" t="shared" si="18" ref="Q72:Q80">(E72*P72/100)*G72/F72</f>
        <v>20.220704</v>
      </c>
      <c r="R72" s="942">
        <v>50</v>
      </c>
      <c r="S72" s="950">
        <f t="shared" si="14"/>
        <v>103.2911890909091</v>
      </c>
      <c r="T72" s="942">
        <v>0.14</v>
      </c>
      <c r="U72" s="951">
        <f>D72*T72</f>
        <v>10.500000000000002</v>
      </c>
      <c r="V72" s="948">
        <f t="shared" si="11"/>
        <v>184.27500000000003</v>
      </c>
      <c r="W72" s="942">
        <v>16</v>
      </c>
      <c r="X72" s="950">
        <f t="shared" si="12"/>
        <v>29.484000000000005</v>
      </c>
      <c r="Y72" s="949">
        <f aca="true" t="shared" si="19" ref="Y72:Y80">L72/M72</f>
        <v>1.1538285714285714</v>
      </c>
      <c r="Z72" s="950">
        <f aca="true" t="shared" si="20" ref="Z72:Z80">N72+O72+Q72</f>
        <v>267.3673510481947</v>
      </c>
      <c r="AA72" s="949">
        <f aca="true" t="shared" si="21" ref="AA72:AA80">S72+V72+X72+Y72</f>
        <v>318.20401766233766</v>
      </c>
      <c r="AB72" s="952">
        <f t="shared" si="15"/>
        <v>585.5713687105324</v>
      </c>
    </row>
    <row r="73" spans="1:28" s="930" customFormat="1" ht="12.75">
      <c r="A73" s="941">
        <v>65</v>
      </c>
      <c r="B73" s="942" t="s">
        <v>1782</v>
      </c>
      <c r="C73" s="943" t="s">
        <v>1781</v>
      </c>
      <c r="D73" s="943">
        <v>85</v>
      </c>
      <c r="E73" s="940">
        <v>2527588</v>
      </c>
      <c r="F73" s="944">
        <v>11000</v>
      </c>
      <c r="G73" s="961">
        <v>5.5</v>
      </c>
      <c r="H73" s="945">
        <f aca="true" t="shared" si="22" ref="H73:H80">E73*10/100</f>
        <v>252758.8</v>
      </c>
      <c r="I73" s="960" t="s">
        <v>1243</v>
      </c>
      <c r="J73" s="944">
        <v>4</v>
      </c>
      <c r="K73" s="944">
        <v>605.76</v>
      </c>
      <c r="L73" s="947">
        <f t="shared" si="16"/>
        <v>2423.04</v>
      </c>
      <c r="M73" s="944">
        <v>2100</v>
      </c>
      <c r="N73" s="948">
        <f aca="true" t="shared" si="23" ref="N73:N80">(E73-L73-H73)/F73</f>
        <v>206.5823781818182</v>
      </c>
      <c r="O73" s="949">
        <f t="shared" si="17"/>
        <v>40.56426886637648</v>
      </c>
      <c r="P73" s="949">
        <v>1.6</v>
      </c>
      <c r="Q73" s="950">
        <f t="shared" si="18"/>
        <v>20.220704</v>
      </c>
      <c r="R73" s="942">
        <v>50</v>
      </c>
      <c r="S73" s="950">
        <f t="shared" si="14"/>
        <v>103.2911890909091</v>
      </c>
      <c r="T73" s="942">
        <v>0.14</v>
      </c>
      <c r="U73" s="951">
        <f aca="true" t="shared" si="24" ref="U73:U79">D73*T73</f>
        <v>11.9</v>
      </c>
      <c r="V73" s="948">
        <f aca="true" t="shared" si="25" ref="V73:V80">U73*$I$87</f>
        <v>208.84500000000003</v>
      </c>
      <c r="W73" s="942">
        <v>8</v>
      </c>
      <c r="X73" s="950">
        <f aca="true" t="shared" si="26" ref="X73:X80">V73*W73/100</f>
        <v>16.707600000000003</v>
      </c>
      <c r="Y73" s="949">
        <f t="shared" si="19"/>
        <v>1.1538285714285714</v>
      </c>
      <c r="Z73" s="950">
        <f t="shared" si="20"/>
        <v>267.3673510481947</v>
      </c>
      <c r="AA73" s="949">
        <f t="shared" si="21"/>
        <v>329.9976176623377</v>
      </c>
      <c r="AB73" s="952">
        <f t="shared" si="15"/>
        <v>597.3649687105324</v>
      </c>
    </row>
    <row r="74" spans="1:28" s="930" customFormat="1" ht="12.75">
      <c r="A74" s="941">
        <v>66</v>
      </c>
      <c r="B74" s="942" t="s">
        <v>1783</v>
      </c>
      <c r="C74" s="943" t="s">
        <v>1784</v>
      </c>
      <c r="D74" s="943">
        <v>100</v>
      </c>
      <c r="E74" s="940">
        <v>2282143</v>
      </c>
      <c r="F74" s="944">
        <v>11000</v>
      </c>
      <c r="G74" s="961">
        <v>5.5</v>
      </c>
      <c r="H74" s="945">
        <f t="shared" si="22"/>
        <v>228214.3</v>
      </c>
      <c r="I74" s="960" t="s">
        <v>1243</v>
      </c>
      <c r="J74" s="944">
        <v>4</v>
      </c>
      <c r="K74" s="944">
        <v>605.76</v>
      </c>
      <c r="L74" s="947">
        <f t="shared" si="16"/>
        <v>2423.04</v>
      </c>
      <c r="M74" s="944">
        <v>2100</v>
      </c>
      <c r="N74" s="948">
        <f t="shared" si="23"/>
        <v>186.50051454545454</v>
      </c>
      <c r="O74" s="949">
        <f t="shared" si="17"/>
        <v>36.6252182885498</v>
      </c>
      <c r="P74" s="949">
        <v>1.6</v>
      </c>
      <c r="Q74" s="950">
        <f t="shared" si="18"/>
        <v>18.257144</v>
      </c>
      <c r="R74" s="942">
        <v>50</v>
      </c>
      <c r="S74" s="950">
        <f t="shared" si="14"/>
        <v>93.25025727272727</v>
      </c>
      <c r="T74" s="942">
        <v>0.14</v>
      </c>
      <c r="U74" s="951">
        <f t="shared" si="24"/>
        <v>14.000000000000002</v>
      </c>
      <c r="V74" s="948">
        <f t="shared" si="25"/>
        <v>245.70000000000005</v>
      </c>
      <c r="W74" s="942">
        <v>16</v>
      </c>
      <c r="X74" s="950">
        <f t="shared" si="26"/>
        <v>39.312000000000005</v>
      </c>
      <c r="Y74" s="949">
        <f t="shared" si="19"/>
        <v>1.1538285714285714</v>
      </c>
      <c r="Z74" s="950">
        <f t="shared" si="20"/>
        <v>241.38287683400435</v>
      </c>
      <c r="AA74" s="949">
        <f t="shared" si="21"/>
        <v>379.4160858441559</v>
      </c>
      <c r="AB74" s="952">
        <f t="shared" si="15"/>
        <v>620.7989626781603</v>
      </c>
    </row>
    <row r="75" spans="1:30" s="930" customFormat="1" ht="12.75">
      <c r="A75" s="962">
        <v>67</v>
      </c>
      <c r="B75" s="942" t="s">
        <v>2266</v>
      </c>
      <c r="C75" s="943" t="s">
        <v>1784</v>
      </c>
      <c r="D75" s="943">
        <v>120</v>
      </c>
      <c r="E75" s="940">
        <v>2282143</v>
      </c>
      <c r="F75" s="944">
        <v>11000</v>
      </c>
      <c r="G75" s="961">
        <v>5.5</v>
      </c>
      <c r="H75" s="945">
        <f t="shared" si="22"/>
        <v>228214.3</v>
      </c>
      <c r="I75" s="960" t="s">
        <v>1243</v>
      </c>
      <c r="J75" s="944">
        <v>4</v>
      </c>
      <c r="K75" s="944">
        <v>605.76</v>
      </c>
      <c r="L75" s="947">
        <f>J75*K75</f>
        <v>2423.04</v>
      </c>
      <c r="M75" s="944">
        <v>2100</v>
      </c>
      <c r="N75" s="948">
        <f t="shared" si="23"/>
        <v>186.50051454545454</v>
      </c>
      <c r="O75" s="949">
        <f t="shared" si="17"/>
        <v>36.6252182885498</v>
      </c>
      <c r="P75" s="949">
        <v>1.6</v>
      </c>
      <c r="Q75" s="950">
        <f t="shared" si="18"/>
        <v>18.257144</v>
      </c>
      <c r="R75" s="942">
        <v>50</v>
      </c>
      <c r="S75" s="950">
        <f t="shared" si="14"/>
        <v>93.25025727272727</v>
      </c>
      <c r="T75" s="942">
        <v>0.14</v>
      </c>
      <c r="U75" s="951">
        <f t="shared" si="24"/>
        <v>16.8</v>
      </c>
      <c r="V75" s="948">
        <f t="shared" si="25"/>
        <v>294.84000000000003</v>
      </c>
      <c r="W75" s="942">
        <v>8</v>
      </c>
      <c r="X75" s="950">
        <f t="shared" si="26"/>
        <v>23.587200000000003</v>
      </c>
      <c r="Y75" s="949">
        <f t="shared" si="19"/>
        <v>1.1538285714285714</v>
      </c>
      <c r="Z75" s="950">
        <f t="shared" si="20"/>
        <v>241.38287683400435</v>
      </c>
      <c r="AA75" s="949">
        <f t="shared" si="21"/>
        <v>412.83128584415584</v>
      </c>
      <c r="AB75" s="952">
        <f t="shared" si="15"/>
        <v>654.2141626781602</v>
      </c>
      <c r="AD75" s="965"/>
    </row>
    <row r="76" spans="1:28" s="930" customFormat="1" ht="12.75">
      <c r="A76" s="963">
        <v>68</v>
      </c>
      <c r="B76" s="942" t="s">
        <v>2267</v>
      </c>
      <c r="C76" s="943" t="s">
        <v>2268</v>
      </c>
      <c r="D76" s="943">
        <v>85</v>
      </c>
      <c r="E76" s="940">
        <v>521411</v>
      </c>
      <c r="F76" s="944">
        <v>11000</v>
      </c>
      <c r="G76" s="961">
        <v>5.5</v>
      </c>
      <c r="H76" s="945">
        <f t="shared" si="22"/>
        <v>52141.1</v>
      </c>
      <c r="I76" s="960" t="s">
        <v>1243</v>
      </c>
      <c r="J76" s="944">
        <v>4</v>
      </c>
      <c r="K76" s="944">
        <v>605.76</v>
      </c>
      <c r="L76" s="947">
        <f t="shared" si="16"/>
        <v>2423.04</v>
      </c>
      <c r="M76" s="944">
        <v>2100</v>
      </c>
      <c r="N76" s="948">
        <f t="shared" si="23"/>
        <v>42.44062363636364</v>
      </c>
      <c r="O76" s="949">
        <f t="shared" si="17"/>
        <v>8.36792071883797</v>
      </c>
      <c r="P76" s="949">
        <v>1.6</v>
      </c>
      <c r="Q76" s="950">
        <f t="shared" si="18"/>
        <v>4.1712880000000006</v>
      </c>
      <c r="R76" s="942">
        <v>50</v>
      </c>
      <c r="S76" s="950">
        <f t="shared" si="14"/>
        <v>21.22031181818182</v>
      </c>
      <c r="T76" s="942">
        <v>0.14</v>
      </c>
      <c r="U76" s="951">
        <f t="shared" si="24"/>
        <v>11.9</v>
      </c>
      <c r="V76" s="948">
        <f t="shared" si="25"/>
        <v>208.84500000000003</v>
      </c>
      <c r="W76" s="942">
        <v>16</v>
      </c>
      <c r="X76" s="950">
        <f t="shared" si="26"/>
        <v>33.415200000000006</v>
      </c>
      <c r="Y76" s="949">
        <f t="shared" si="19"/>
        <v>1.1538285714285714</v>
      </c>
      <c r="Z76" s="950">
        <f t="shared" si="20"/>
        <v>54.97983235520161</v>
      </c>
      <c r="AA76" s="949">
        <f t="shared" si="21"/>
        <v>264.63434038961043</v>
      </c>
      <c r="AB76" s="952">
        <f t="shared" si="15"/>
        <v>319.61417274481204</v>
      </c>
    </row>
    <row r="77" spans="1:28" s="930" customFormat="1" ht="12.75">
      <c r="A77" s="941">
        <v>69</v>
      </c>
      <c r="B77" s="942" t="s">
        <v>2269</v>
      </c>
      <c r="C77" s="943" t="s">
        <v>2268</v>
      </c>
      <c r="D77" s="943">
        <v>100</v>
      </c>
      <c r="E77" s="940">
        <v>521411</v>
      </c>
      <c r="F77" s="944">
        <v>11000</v>
      </c>
      <c r="G77" s="961">
        <v>5.5</v>
      </c>
      <c r="H77" s="945">
        <f t="shared" si="22"/>
        <v>52141.1</v>
      </c>
      <c r="I77" s="960" t="s">
        <v>1243</v>
      </c>
      <c r="J77" s="944">
        <v>4</v>
      </c>
      <c r="K77" s="944">
        <v>605.76</v>
      </c>
      <c r="L77" s="947">
        <f t="shared" si="16"/>
        <v>2423.04</v>
      </c>
      <c r="M77" s="944">
        <v>2100</v>
      </c>
      <c r="N77" s="948">
        <f t="shared" si="23"/>
        <v>42.44062363636364</v>
      </c>
      <c r="O77" s="949">
        <f t="shared" si="17"/>
        <v>8.36792071883797</v>
      </c>
      <c r="P77" s="949">
        <v>1.6</v>
      </c>
      <c r="Q77" s="950">
        <f t="shared" si="18"/>
        <v>4.1712880000000006</v>
      </c>
      <c r="R77" s="942">
        <v>50</v>
      </c>
      <c r="S77" s="950">
        <f t="shared" si="14"/>
        <v>21.22031181818182</v>
      </c>
      <c r="T77" s="942">
        <v>0.14</v>
      </c>
      <c r="U77" s="951">
        <f t="shared" si="24"/>
        <v>14.000000000000002</v>
      </c>
      <c r="V77" s="948">
        <f t="shared" si="25"/>
        <v>245.70000000000005</v>
      </c>
      <c r="W77" s="942">
        <v>8</v>
      </c>
      <c r="X77" s="950">
        <f t="shared" si="26"/>
        <v>19.656000000000002</v>
      </c>
      <c r="Y77" s="949">
        <f t="shared" si="19"/>
        <v>1.1538285714285714</v>
      </c>
      <c r="Z77" s="950">
        <f t="shared" si="20"/>
        <v>54.97983235520161</v>
      </c>
      <c r="AA77" s="949">
        <f t="shared" si="21"/>
        <v>287.7301403896104</v>
      </c>
      <c r="AB77" s="952">
        <f t="shared" si="15"/>
        <v>342.70997274481203</v>
      </c>
    </row>
    <row r="78" spans="1:28" s="930" customFormat="1" ht="12.75">
      <c r="A78" s="941">
        <v>70</v>
      </c>
      <c r="B78" s="942" t="s">
        <v>2270</v>
      </c>
      <c r="C78" s="943" t="s">
        <v>1773</v>
      </c>
      <c r="D78" s="943">
        <v>85</v>
      </c>
      <c r="E78" s="940">
        <v>1184118</v>
      </c>
      <c r="F78" s="944">
        <v>11000</v>
      </c>
      <c r="G78" s="961">
        <v>5.5</v>
      </c>
      <c r="H78" s="945">
        <f t="shared" si="22"/>
        <v>118411.8</v>
      </c>
      <c r="I78" s="960" t="s">
        <v>1243</v>
      </c>
      <c r="J78" s="944">
        <v>4</v>
      </c>
      <c r="K78" s="944">
        <v>605.76</v>
      </c>
      <c r="L78" s="947">
        <f t="shared" si="16"/>
        <v>2423.04</v>
      </c>
      <c r="M78" s="944">
        <v>2100</v>
      </c>
      <c r="N78" s="948">
        <f t="shared" si="23"/>
        <v>96.66210545454544</v>
      </c>
      <c r="O78" s="949">
        <f t="shared" si="17"/>
        <v>19.003445546313714</v>
      </c>
      <c r="P78" s="949">
        <v>1.6</v>
      </c>
      <c r="Q78" s="950">
        <f t="shared" si="18"/>
        <v>9.472944</v>
      </c>
      <c r="R78" s="942">
        <v>50</v>
      </c>
      <c r="S78" s="950">
        <f t="shared" si="14"/>
        <v>48.33105272727272</v>
      </c>
      <c r="T78" s="942">
        <v>0.14</v>
      </c>
      <c r="U78" s="951">
        <f t="shared" si="24"/>
        <v>11.9</v>
      </c>
      <c r="V78" s="948">
        <f t="shared" si="25"/>
        <v>208.84500000000003</v>
      </c>
      <c r="W78" s="942">
        <v>16</v>
      </c>
      <c r="X78" s="950">
        <f t="shared" si="26"/>
        <v>33.415200000000006</v>
      </c>
      <c r="Y78" s="949">
        <f t="shared" si="19"/>
        <v>1.1538285714285714</v>
      </c>
      <c r="Z78" s="950">
        <f t="shared" si="20"/>
        <v>125.13849500085915</v>
      </c>
      <c r="AA78" s="949">
        <f t="shared" si="21"/>
        <v>291.74508129870134</v>
      </c>
      <c r="AB78" s="952">
        <f t="shared" si="15"/>
        <v>416.8835762995605</v>
      </c>
    </row>
    <row r="79" spans="1:28" s="930" customFormat="1" ht="12.75">
      <c r="A79" s="962">
        <v>71</v>
      </c>
      <c r="B79" s="942" t="s">
        <v>233</v>
      </c>
      <c r="C79" s="943" t="s">
        <v>1773</v>
      </c>
      <c r="D79" s="943">
        <v>100</v>
      </c>
      <c r="E79" s="940">
        <v>1184118</v>
      </c>
      <c r="F79" s="944">
        <v>11000</v>
      </c>
      <c r="G79" s="961">
        <v>5.5</v>
      </c>
      <c r="H79" s="945">
        <f t="shared" si="22"/>
        <v>118411.8</v>
      </c>
      <c r="I79" s="960" t="s">
        <v>1243</v>
      </c>
      <c r="J79" s="944">
        <v>4</v>
      </c>
      <c r="K79" s="944">
        <v>605.76</v>
      </c>
      <c r="L79" s="947">
        <f t="shared" si="16"/>
        <v>2423.04</v>
      </c>
      <c r="M79" s="944">
        <v>2100</v>
      </c>
      <c r="N79" s="948">
        <f t="shared" si="23"/>
        <v>96.66210545454544</v>
      </c>
      <c r="O79" s="949">
        <f t="shared" si="17"/>
        <v>19.003445546313714</v>
      </c>
      <c r="P79" s="949">
        <v>1.6</v>
      </c>
      <c r="Q79" s="950">
        <f t="shared" si="18"/>
        <v>9.472944</v>
      </c>
      <c r="R79" s="942">
        <v>50</v>
      </c>
      <c r="S79" s="950">
        <f t="shared" si="14"/>
        <v>48.33105272727272</v>
      </c>
      <c r="T79" s="942">
        <v>0.14</v>
      </c>
      <c r="U79" s="951">
        <f t="shared" si="24"/>
        <v>14.000000000000002</v>
      </c>
      <c r="V79" s="948">
        <f t="shared" si="25"/>
        <v>245.70000000000005</v>
      </c>
      <c r="W79" s="942">
        <v>8</v>
      </c>
      <c r="X79" s="950">
        <f t="shared" si="26"/>
        <v>19.656000000000002</v>
      </c>
      <c r="Y79" s="949">
        <f t="shared" si="19"/>
        <v>1.1538285714285714</v>
      </c>
      <c r="Z79" s="950">
        <f t="shared" si="20"/>
        <v>125.13849500085915</v>
      </c>
      <c r="AA79" s="949">
        <f t="shared" si="21"/>
        <v>314.84088129870133</v>
      </c>
      <c r="AB79" s="952">
        <f t="shared" si="15"/>
        <v>439.9793762995605</v>
      </c>
    </row>
    <row r="80" spans="1:28" ht="13.5" thickBot="1">
      <c r="A80" s="710">
        <v>72</v>
      </c>
      <c r="B80" s="705" t="s">
        <v>234</v>
      </c>
      <c r="C80" s="706" t="s">
        <v>235</v>
      </c>
      <c r="D80" s="706">
        <v>80</v>
      </c>
      <c r="E80" s="939">
        <f>'[2]AvePrice'!P79</f>
        <v>266570</v>
      </c>
      <c r="F80" s="707">
        <v>11000</v>
      </c>
      <c r="G80" s="711">
        <v>5.5</v>
      </c>
      <c r="H80" s="707">
        <f t="shared" si="22"/>
        <v>26657</v>
      </c>
      <c r="I80" s="712" t="s">
        <v>1250</v>
      </c>
      <c r="J80" s="713">
        <v>4</v>
      </c>
      <c r="K80" s="713">
        <v>484.41</v>
      </c>
      <c r="L80" s="707">
        <f t="shared" si="16"/>
        <v>1937.64</v>
      </c>
      <c r="M80" s="713">
        <v>2100</v>
      </c>
      <c r="N80" s="708">
        <f t="shared" si="23"/>
        <v>21.634123636363636</v>
      </c>
      <c r="O80" s="708">
        <f t="shared" si="17"/>
        <v>4.278077420730744</v>
      </c>
      <c r="P80" s="708">
        <v>1.6</v>
      </c>
      <c r="Q80" s="708">
        <f t="shared" si="18"/>
        <v>2.13256</v>
      </c>
      <c r="R80" s="714">
        <v>50</v>
      </c>
      <c r="S80" s="708">
        <f t="shared" si="14"/>
        <v>10.817061818181818</v>
      </c>
      <c r="T80" s="714">
        <v>0.14</v>
      </c>
      <c r="U80" s="714">
        <f>IF(D80&gt;0,D80*T80,"-")</f>
        <v>11.200000000000001</v>
      </c>
      <c r="V80" s="708">
        <f t="shared" si="25"/>
        <v>196.56000000000003</v>
      </c>
      <c r="W80" s="714">
        <v>8</v>
      </c>
      <c r="X80" s="715">
        <f t="shared" si="26"/>
        <v>15.724800000000002</v>
      </c>
      <c r="Y80" s="708">
        <f t="shared" si="19"/>
        <v>0.9226857142857143</v>
      </c>
      <c r="Z80" s="715">
        <f t="shared" si="20"/>
        <v>28.044761057094377</v>
      </c>
      <c r="AA80" s="708">
        <f t="shared" si="21"/>
        <v>224.02454753246758</v>
      </c>
      <c r="AB80" s="709">
        <f t="shared" si="15"/>
        <v>252.06930858956196</v>
      </c>
    </row>
    <row r="81" spans="9:22" ht="12.75">
      <c r="I81" s="716"/>
      <c r="P81" s="557"/>
      <c r="V81" s="557"/>
    </row>
    <row r="82" spans="2:22" ht="30.75" customHeight="1">
      <c r="B82" s="1290" t="s">
        <v>414</v>
      </c>
      <c r="C82" s="1290"/>
      <c r="D82" s="1290"/>
      <c r="E82" s="1290"/>
      <c r="F82" s="1290"/>
      <c r="G82" s="1290"/>
      <c r="H82" s="1290"/>
      <c r="I82" s="1290"/>
      <c r="J82" s="1290"/>
      <c r="K82" s="1290"/>
      <c r="L82" s="1290"/>
      <c r="M82" s="1290"/>
      <c r="N82" s="1290"/>
      <c r="O82" s="1290"/>
      <c r="P82" s="1290"/>
      <c r="Q82" s="1290"/>
      <c r="R82" s="1290"/>
      <c r="V82" s="557"/>
    </row>
    <row r="83" spans="9:22" ht="12.75">
      <c r="I83" s="716"/>
      <c r="P83" s="557"/>
      <c r="V83" s="557"/>
    </row>
    <row r="84" spans="2:22" ht="12.75">
      <c r="B84" s="1289" t="s">
        <v>236</v>
      </c>
      <c r="C84" s="1289"/>
      <c r="D84" s="1289"/>
      <c r="E84" s="1289"/>
      <c r="F84" s="1289"/>
      <c r="G84" s="1289"/>
      <c r="H84" s="1289"/>
      <c r="I84" s="636"/>
      <c r="J84" s="560"/>
      <c r="K84" s="560"/>
      <c r="P84" s="557"/>
      <c r="V84" s="557"/>
    </row>
    <row r="85" spans="2:22" ht="12.75">
      <c r="B85" s="1288" t="s">
        <v>2292</v>
      </c>
      <c r="C85" s="1288"/>
      <c r="D85" s="1288"/>
      <c r="E85" s="1288"/>
      <c r="F85" s="1288"/>
      <c r="G85" s="1288"/>
      <c r="H85" s="1288"/>
      <c r="I85" s="1288"/>
      <c r="N85" s="645"/>
      <c r="P85" s="557"/>
      <c r="V85" s="557"/>
    </row>
    <row r="86" spans="2:22" ht="12.75">
      <c r="B86" s="1288" t="s">
        <v>2293</v>
      </c>
      <c r="C86" s="1288"/>
      <c r="D86" s="1288"/>
      <c r="E86" s="1288"/>
      <c r="F86" s="1288"/>
      <c r="G86" s="1288"/>
      <c r="H86" s="1288"/>
      <c r="I86" s="1288"/>
      <c r="P86" s="557"/>
      <c r="V86" s="557"/>
    </row>
    <row r="87" spans="2:22" ht="12.75">
      <c r="B87" s="1285" t="s">
        <v>2294</v>
      </c>
      <c r="C87" s="1285"/>
      <c r="D87" s="1285"/>
      <c r="E87" s="1285"/>
      <c r="F87" s="1285"/>
      <c r="G87" s="718"/>
      <c r="H87" s="719" t="s">
        <v>1785</v>
      </c>
      <c r="I87" s="720">
        <v>17.55</v>
      </c>
      <c r="J87" s="721"/>
      <c r="K87" s="721" t="s">
        <v>1786</v>
      </c>
      <c r="P87" s="557"/>
      <c r="V87" s="557"/>
    </row>
    <row r="88" spans="2:22" ht="32.25" customHeight="1">
      <c r="B88" s="1286" t="s">
        <v>415</v>
      </c>
      <c r="C88" s="1287"/>
      <c r="D88" s="1287"/>
      <c r="E88" s="1287"/>
      <c r="F88" s="1287"/>
      <c r="G88" s="1287"/>
      <c r="H88" s="558" t="s">
        <v>1787</v>
      </c>
      <c r="I88" s="722">
        <v>21</v>
      </c>
      <c r="J88" s="554"/>
      <c r="K88" s="554" t="s">
        <v>1786</v>
      </c>
      <c r="M88" s="557"/>
      <c r="P88" s="557"/>
      <c r="V88" s="557"/>
    </row>
    <row r="89" spans="9:22" ht="12.75">
      <c r="I89" s="716"/>
      <c r="P89" s="557"/>
      <c r="V89" s="557"/>
    </row>
    <row r="90" spans="9:22" ht="12.75">
      <c r="I90" s="716"/>
      <c r="P90" s="557"/>
      <c r="V90" s="557"/>
    </row>
    <row r="91" spans="9:22" ht="12.75">
      <c r="I91" s="716"/>
      <c r="P91" s="557"/>
      <c r="V91" s="557"/>
    </row>
    <row r="92" spans="9:22" ht="12.75">
      <c r="I92" s="716"/>
      <c r="P92" s="557"/>
      <c r="V92" s="557"/>
    </row>
    <row r="93" spans="9:22" ht="12.75">
      <c r="I93" s="716"/>
      <c r="P93" s="557"/>
      <c r="V93" s="557"/>
    </row>
    <row r="94" spans="9:22" ht="12.75">
      <c r="I94" s="716"/>
      <c r="P94" s="557"/>
      <c r="V94" s="557"/>
    </row>
    <row r="95" spans="9:22" ht="12.75">
      <c r="I95" s="716"/>
      <c r="P95" s="557"/>
      <c r="V95" s="557"/>
    </row>
    <row r="96" spans="9:22" ht="12.75">
      <c r="I96" s="716"/>
      <c r="P96" s="557"/>
      <c r="V96" s="557"/>
    </row>
    <row r="97" spans="9:22" ht="12.75">
      <c r="I97" s="716"/>
      <c r="P97" s="557"/>
      <c r="V97" s="557"/>
    </row>
  </sheetData>
  <sheetProtection/>
  <mergeCells count="15">
    <mergeCell ref="B87:F87"/>
    <mergeCell ref="B88:G88"/>
    <mergeCell ref="B85:I85"/>
    <mergeCell ref="B86:I86"/>
    <mergeCell ref="F3:G3"/>
    <mergeCell ref="F4:G4"/>
    <mergeCell ref="B84:H84"/>
    <mergeCell ref="B82:R82"/>
    <mergeCell ref="A1:AA1"/>
    <mergeCell ref="F2:G2"/>
    <mergeCell ref="I2:M2"/>
    <mergeCell ref="P2:Q2"/>
    <mergeCell ref="R2:S2"/>
    <mergeCell ref="T2:V2"/>
    <mergeCell ref="W2:X2"/>
  </mergeCells>
  <printOptions horizontalCentered="1"/>
  <pageMargins left="0" right="0" top="1" bottom="1" header="0.5" footer="0.5"/>
  <pageSetup horizontalDpi="600" verticalDpi="600" orientation="landscape" scale="70" r:id="rId1"/>
</worksheet>
</file>

<file path=xl/worksheets/sheet6.xml><?xml version="1.0" encoding="utf-8"?>
<worksheet xmlns="http://schemas.openxmlformats.org/spreadsheetml/2006/main" xmlns:r="http://schemas.openxmlformats.org/officeDocument/2006/relationships">
  <dimension ref="A2:J276"/>
  <sheetViews>
    <sheetView view="pageBreakPreview" zoomScale="75" zoomScaleSheetLayoutView="75" workbookViewId="0" topLeftCell="A1">
      <selection activeCell="K10" sqref="K10"/>
    </sheetView>
  </sheetViews>
  <sheetFormatPr defaultColWidth="9.140625" defaultRowHeight="12.75"/>
  <cols>
    <col min="1" max="1" width="4.7109375" style="556" customWidth="1"/>
    <col min="2" max="2" width="24.421875" style="556" customWidth="1"/>
    <col min="3" max="3" width="14.7109375" style="723" customWidth="1"/>
    <col min="4" max="4" width="9.57421875" style="557" customWidth="1"/>
    <col min="5" max="5" width="12.421875" style="557" customWidth="1"/>
    <col min="6" max="6" width="13.140625" style="557" customWidth="1"/>
    <col min="7" max="7" width="14.8515625" style="557" customWidth="1"/>
    <col min="8" max="8" width="14.140625" style="557" customWidth="1"/>
    <col min="9" max="9" width="14.57421875" style="557" customWidth="1"/>
  </cols>
  <sheetData>
    <row r="2" spans="5:9" ht="18">
      <c r="E2" s="724"/>
      <c r="F2" s="724"/>
      <c r="G2" s="724"/>
      <c r="H2" s="724"/>
      <c r="I2" s="724"/>
    </row>
    <row r="3" spans="5:9" ht="18">
      <c r="E3" s="724"/>
      <c r="F3" s="724"/>
      <c r="G3" s="724"/>
      <c r="H3" s="724"/>
      <c r="I3" s="724"/>
    </row>
    <row r="4" spans="8:9" ht="12.75">
      <c r="H4" s="1297" t="s">
        <v>435</v>
      </c>
      <c r="I4" s="1297"/>
    </row>
    <row r="5" spans="1:9" ht="20.25">
      <c r="A5" s="1292" t="s">
        <v>531</v>
      </c>
      <c r="B5" s="1292"/>
      <c r="C5" s="1292"/>
      <c r="D5" s="1292"/>
      <c r="E5" s="1292"/>
      <c r="F5" s="1292"/>
      <c r="G5" s="1292"/>
      <c r="H5" s="1292"/>
      <c r="I5" s="1292"/>
    </row>
    <row r="6" spans="1:9" ht="18">
      <c r="A6" s="717"/>
      <c r="B6" s="717"/>
      <c r="C6" s="724"/>
      <c r="I6" s="724"/>
    </row>
    <row r="7" spans="1:9" ht="18.75" thickBot="1">
      <c r="A7" s="1295" t="s">
        <v>532</v>
      </c>
      <c r="B7" s="1295"/>
      <c r="C7" s="1295"/>
      <c r="D7" s="1295"/>
      <c r="E7" s="1295"/>
      <c r="F7" s="1295"/>
      <c r="G7" s="1295"/>
      <c r="H7" s="724"/>
      <c r="I7" s="724"/>
    </row>
    <row r="8" spans="1:9" ht="39" thickBot="1">
      <c r="A8" s="725" t="s">
        <v>326</v>
      </c>
      <c r="B8" s="726" t="s">
        <v>533</v>
      </c>
      <c r="C8" s="727" t="s">
        <v>534</v>
      </c>
      <c r="D8" s="727" t="s">
        <v>2408</v>
      </c>
      <c r="E8" s="728" t="s">
        <v>535</v>
      </c>
      <c r="F8" s="728" t="s">
        <v>536</v>
      </c>
      <c r="G8" s="728" t="s">
        <v>537</v>
      </c>
      <c r="H8" s="728" t="s">
        <v>538</v>
      </c>
      <c r="I8" s="729" t="s">
        <v>539</v>
      </c>
    </row>
    <row r="9" spans="1:9" ht="12.75">
      <c r="A9" s="730"/>
      <c r="B9" s="731"/>
      <c r="C9" s="732"/>
      <c r="D9" s="733"/>
      <c r="E9" s="733"/>
      <c r="F9" s="733"/>
      <c r="G9" s="733"/>
      <c r="H9" s="733"/>
      <c r="I9" s="734"/>
    </row>
    <row r="10" spans="1:9" ht="12.75">
      <c r="A10" s="874">
        <v>1</v>
      </c>
      <c r="B10" s="875" t="s">
        <v>540</v>
      </c>
      <c r="C10" s="876">
        <v>1</v>
      </c>
      <c r="D10" s="877">
        <v>1</v>
      </c>
      <c r="E10" s="964">
        <v>12000</v>
      </c>
      <c r="F10" s="877">
        <v>1.44</v>
      </c>
      <c r="G10" s="877">
        <f>C10*D10*E10*F10</f>
        <v>17280</v>
      </c>
      <c r="H10" s="877">
        <v>12</v>
      </c>
      <c r="I10" s="878">
        <f>G10*H10</f>
        <v>207360</v>
      </c>
    </row>
    <row r="11" spans="1:9" ht="12.75">
      <c r="A11" s="874"/>
      <c r="B11" s="875"/>
      <c r="C11" s="876"/>
      <c r="D11" s="877"/>
      <c r="E11" s="964"/>
      <c r="F11" s="877"/>
      <c r="G11" s="877"/>
      <c r="H11" s="877"/>
      <c r="I11" s="878"/>
    </row>
    <row r="12" spans="1:9" ht="12.75">
      <c r="A12" s="874">
        <v>2</v>
      </c>
      <c r="B12" s="875" t="s">
        <v>541</v>
      </c>
      <c r="C12" s="876">
        <v>1</v>
      </c>
      <c r="D12" s="877">
        <v>1</v>
      </c>
      <c r="E12" s="964">
        <v>5000</v>
      </c>
      <c r="F12" s="877">
        <v>1.44</v>
      </c>
      <c r="G12" s="877">
        <f aca="true" t="shared" si="0" ref="G12:G18">C12*D12*E12*F12</f>
        <v>7200</v>
      </c>
      <c r="H12" s="877">
        <v>12</v>
      </c>
      <c r="I12" s="878">
        <f aca="true" t="shared" si="1" ref="I12:I18">G12*H12</f>
        <v>86400</v>
      </c>
    </row>
    <row r="13" spans="1:9" ht="12.75">
      <c r="A13" s="874"/>
      <c r="B13" s="875"/>
      <c r="C13" s="876"/>
      <c r="D13" s="877"/>
      <c r="E13" s="877"/>
      <c r="F13" s="877"/>
      <c r="G13" s="877"/>
      <c r="H13" s="877"/>
      <c r="I13" s="878"/>
    </row>
    <row r="14" spans="1:9" ht="12.75">
      <c r="A14" s="874">
        <v>3</v>
      </c>
      <c r="B14" s="875" t="s">
        <v>542</v>
      </c>
      <c r="C14" s="876">
        <v>1</v>
      </c>
      <c r="D14" s="877">
        <v>1</v>
      </c>
      <c r="E14" s="964">
        <v>3000</v>
      </c>
      <c r="F14" s="877">
        <v>1.44</v>
      </c>
      <c r="G14" s="877">
        <f t="shared" si="0"/>
        <v>4320</v>
      </c>
      <c r="H14" s="877">
        <v>12</v>
      </c>
      <c r="I14" s="878">
        <f t="shared" si="1"/>
        <v>51840</v>
      </c>
    </row>
    <row r="15" spans="1:9" ht="12.75">
      <c r="A15" s="874"/>
      <c r="B15" s="875"/>
      <c r="C15" s="876"/>
      <c r="D15" s="877"/>
      <c r="E15" s="877"/>
      <c r="F15" s="877"/>
      <c r="G15" s="877"/>
      <c r="H15" s="877"/>
      <c r="I15" s="878"/>
    </row>
    <row r="16" spans="1:9" ht="12.75">
      <c r="A16" s="874">
        <v>4</v>
      </c>
      <c r="B16" s="875" t="s">
        <v>543</v>
      </c>
      <c r="C16" s="876">
        <v>1</v>
      </c>
      <c r="D16" s="877">
        <v>0.2</v>
      </c>
      <c r="E16" s="964">
        <f>(4600+1440)/2</f>
        <v>3020</v>
      </c>
      <c r="F16" s="877">
        <v>1.44</v>
      </c>
      <c r="G16" s="877">
        <f t="shared" si="0"/>
        <v>869.76</v>
      </c>
      <c r="H16" s="877">
        <v>12</v>
      </c>
      <c r="I16" s="878">
        <f t="shared" si="1"/>
        <v>10437.119999999999</v>
      </c>
    </row>
    <row r="17" spans="1:9" ht="12.75">
      <c r="A17" s="730"/>
      <c r="B17" s="731"/>
      <c r="C17" s="732"/>
      <c r="D17" s="733"/>
      <c r="E17" s="733"/>
      <c r="F17" s="733"/>
      <c r="G17" s="733"/>
      <c r="H17" s="733"/>
      <c r="I17" s="734"/>
    </row>
    <row r="18" spans="1:9" ht="12.75">
      <c r="A18" s="730">
        <v>5</v>
      </c>
      <c r="B18" s="731" t="s">
        <v>544</v>
      </c>
      <c r="C18" s="732">
        <v>3</v>
      </c>
      <c r="D18" s="733">
        <v>0.2</v>
      </c>
      <c r="E18" s="964">
        <v>1000</v>
      </c>
      <c r="F18" s="733">
        <v>1.44</v>
      </c>
      <c r="G18" s="733">
        <f t="shared" si="0"/>
        <v>864.0000000000001</v>
      </c>
      <c r="H18" s="733">
        <v>12</v>
      </c>
      <c r="I18" s="734">
        <f t="shared" si="1"/>
        <v>10368.000000000002</v>
      </c>
    </row>
    <row r="19" spans="1:9" ht="12.75">
      <c r="A19" s="730"/>
      <c r="B19" s="731"/>
      <c r="C19" s="732"/>
      <c r="D19" s="733"/>
      <c r="E19" s="733"/>
      <c r="F19" s="733"/>
      <c r="G19" s="733"/>
      <c r="H19" s="733"/>
      <c r="I19" s="734"/>
    </row>
    <row r="20" spans="1:9" ht="16.5" thickBot="1">
      <c r="A20" s="735"/>
      <c r="B20" s="736" t="s">
        <v>517</v>
      </c>
      <c r="C20" s="737"/>
      <c r="D20" s="738"/>
      <c r="E20" s="738"/>
      <c r="F20" s="738"/>
      <c r="G20" s="738"/>
      <c r="H20" s="738"/>
      <c r="I20" s="739">
        <f>SUM(I10:I19)</f>
        <v>366405.12</v>
      </c>
    </row>
    <row r="24" spans="1:9" ht="20.25">
      <c r="A24" s="1299" t="s">
        <v>545</v>
      </c>
      <c r="B24" s="1299"/>
      <c r="C24" s="1299"/>
      <c r="D24" s="1299"/>
      <c r="E24" s="1299"/>
      <c r="F24" s="1299"/>
      <c r="G24" s="1299"/>
      <c r="H24" s="1299"/>
      <c r="I24" s="1299"/>
    </row>
    <row r="25" ht="13.5" thickBot="1"/>
    <row r="26" spans="1:9" ht="39" thickBot="1">
      <c r="A26" s="725" t="s">
        <v>326</v>
      </c>
      <c r="B26" s="726" t="s">
        <v>533</v>
      </c>
      <c r="C26" s="727" t="s">
        <v>534</v>
      </c>
      <c r="D26" s="727" t="s">
        <v>2408</v>
      </c>
      <c r="E26" s="728" t="s">
        <v>535</v>
      </c>
      <c r="F26" s="728" t="s">
        <v>536</v>
      </c>
      <c r="G26" s="728" t="s">
        <v>537</v>
      </c>
      <c r="H26" s="728" t="s">
        <v>538</v>
      </c>
      <c r="I26" s="729" t="s">
        <v>539</v>
      </c>
    </row>
    <row r="27" spans="1:9" ht="12.75">
      <c r="A27" s="730"/>
      <c r="B27" s="731"/>
      <c r="C27" s="740"/>
      <c r="D27" s="741"/>
      <c r="E27" s="741"/>
      <c r="F27" s="741"/>
      <c r="G27" s="741"/>
      <c r="H27" s="741"/>
      <c r="I27" s="742"/>
    </row>
    <row r="28" spans="1:9" s="438" customFormat="1" ht="12.75">
      <c r="A28" s="874">
        <v>1</v>
      </c>
      <c r="B28" s="875" t="s">
        <v>546</v>
      </c>
      <c r="C28" s="876">
        <v>1</v>
      </c>
      <c r="D28" s="877">
        <v>1</v>
      </c>
      <c r="E28" s="877">
        <v>3000</v>
      </c>
      <c r="F28" s="877">
        <v>1.44</v>
      </c>
      <c r="G28" s="877">
        <f>C28*D28*E28*F28</f>
        <v>4320</v>
      </c>
      <c r="H28" s="877">
        <v>12</v>
      </c>
      <c r="I28" s="878">
        <f>G28*H28</f>
        <v>51840</v>
      </c>
    </row>
    <row r="29" spans="1:9" ht="12.75">
      <c r="A29" s="730"/>
      <c r="B29" s="731"/>
      <c r="C29" s="732"/>
      <c r="D29" s="733"/>
      <c r="E29" s="733"/>
      <c r="F29" s="733"/>
      <c r="G29" s="733"/>
      <c r="H29" s="733"/>
      <c r="I29" s="734"/>
    </row>
    <row r="30" spans="1:9" s="438" customFormat="1" ht="12.75">
      <c r="A30" s="874">
        <v>2</v>
      </c>
      <c r="B30" s="875" t="s">
        <v>547</v>
      </c>
      <c r="C30" s="876">
        <v>1</v>
      </c>
      <c r="D30" s="877">
        <v>1</v>
      </c>
      <c r="E30" s="964">
        <v>1800</v>
      </c>
      <c r="F30" s="877">
        <v>1.44</v>
      </c>
      <c r="G30" s="877">
        <f aca="true" t="shared" si="2" ref="G30:G42">C30*D30*E30*F30</f>
        <v>2592</v>
      </c>
      <c r="H30" s="877">
        <v>12</v>
      </c>
      <c r="I30" s="878">
        <f>G30*H30</f>
        <v>31104</v>
      </c>
    </row>
    <row r="31" spans="1:9" ht="12.75">
      <c r="A31" s="730"/>
      <c r="B31" s="731"/>
      <c r="C31" s="732"/>
      <c r="D31" s="733"/>
      <c r="E31" s="733"/>
      <c r="F31" s="733"/>
      <c r="G31" s="733"/>
      <c r="H31" s="733"/>
      <c r="I31" s="734"/>
    </row>
    <row r="32" spans="1:9" ht="12.75">
      <c r="A32" s="730">
        <v>3</v>
      </c>
      <c r="B32" s="731" t="s">
        <v>548</v>
      </c>
      <c r="C32" s="732">
        <v>1</v>
      </c>
      <c r="D32" s="733">
        <v>1</v>
      </c>
      <c r="E32" s="733">
        <v>1500</v>
      </c>
      <c r="F32" s="733">
        <v>1.44</v>
      </c>
      <c r="G32" s="733">
        <f t="shared" si="2"/>
        <v>2160</v>
      </c>
      <c r="H32" s="733">
        <v>12</v>
      </c>
      <c r="I32" s="734">
        <f>G32*H32</f>
        <v>25920</v>
      </c>
    </row>
    <row r="33" spans="1:9" ht="12.75">
      <c r="A33" s="730"/>
      <c r="B33" s="731"/>
      <c r="C33" s="732"/>
      <c r="D33" s="733"/>
      <c r="E33" s="733"/>
      <c r="F33" s="733"/>
      <c r="G33" s="733"/>
      <c r="H33" s="733"/>
      <c r="I33" s="734"/>
    </row>
    <row r="34" spans="1:9" s="438" customFormat="1" ht="12.75">
      <c r="A34" s="874">
        <v>4</v>
      </c>
      <c r="B34" s="875" t="s">
        <v>549</v>
      </c>
      <c r="C34" s="876">
        <v>1</v>
      </c>
      <c r="D34" s="877">
        <v>1</v>
      </c>
      <c r="E34" s="964">
        <v>1200</v>
      </c>
      <c r="F34" s="877">
        <v>1.44</v>
      </c>
      <c r="G34" s="877">
        <f t="shared" si="2"/>
        <v>1728</v>
      </c>
      <c r="H34" s="877">
        <v>12</v>
      </c>
      <c r="I34" s="878">
        <f>G34*H34</f>
        <v>20736</v>
      </c>
    </row>
    <row r="35" spans="1:9" ht="12.75">
      <c r="A35" s="730"/>
      <c r="B35" s="731"/>
      <c r="C35" s="732"/>
      <c r="D35" s="733"/>
      <c r="E35" s="733"/>
      <c r="F35" s="733"/>
      <c r="G35" s="733"/>
      <c r="H35" s="733"/>
      <c r="I35" s="734"/>
    </row>
    <row r="36" spans="1:9" s="438" customFormat="1" ht="12.75">
      <c r="A36" s="874">
        <v>5</v>
      </c>
      <c r="B36" s="875" t="s">
        <v>550</v>
      </c>
      <c r="C36" s="876">
        <v>3</v>
      </c>
      <c r="D36" s="877">
        <v>1</v>
      </c>
      <c r="E36" s="964">
        <v>728</v>
      </c>
      <c r="F36" s="877">
        <v>1.44</v>
      </c>
      <c r="G36" s="877">
        <f t="shared" si="2"/>
        <v>3144.96</v>
      </c>
      <c r="H36" s="877">
        <v>12</v>
      </c>
      <c r="I36" s="878">
        <f aca="true" t="shared" si="3" ref="I36:I42">G36*H36</f>
        <v>37739.520000000004</v>
      </c>
    </row>
    <row r="37" spans="1:9" ht="12.75">
      <c r="A37" s="730"/>
      <c r="B37" s="731"/>
      <c r="C37" s="732"/>
      <c r="D37" s="733"/>
      <c r="E37" s="733"/>
      <c r="F37" s="733"/>
      <c r="G37" s="733"/>
      <c r="H37" s="733"/>
      <c r="I37" s="734"/>
    </row>
    <row r="38" spans="1:9" s="438" customFormat="1" ht="12.75">
      <c r="A38" s="874">
        <v>6</v>
      </c>
      <c r="B38" s="875" t="s">
        <v>551</v>
      </c>
      <c r="C38" s="876">
        <v>1</v>
      </c>
      <c r="D38" s="877">
        <v>1</v>
      </c>
      <c r="E38" s="964">
        <v>500</v>
      </c>
      <c r="F38" s="877">
        <v>1.44</v>
      </c>
      <c r="G38" s="877">
        <f t="shared" si="2"/>
        <v>720</v>
      </c>
      <c r="H38" s="877">
        <v>12</v>
      </c>
      <c r="I38" s="878">
        <f t="shared" si="3"/>
        <v>8640</v>
      </c>
    </row>
    <row r="39" spans="1:9" ht="12.75">
      <c r="A39" s="730"/>
      <c r="B39" s="731"/>
      <c r="C39" s="732"/>
      <c r="D39" s="733"/>
      <c r="E39" s="733"/>
      <c r="F39" s="733"/>
      <c r="G39" s="733"/>
      <c r="H39" s="733"/>
      <c r="I39" s="734"/>
    </row>
    <row r="40" spans="1:9" s="438" customFormat="1" ht="12.75">
      <c r="A40" s="874">
        <v>7</v>
      </c>
      <c r="B40" s="875" t="s">
        <v>552</v>
      </c>
      <c r="C40" s="876">
        <v>1</v>
      </c>
      <c r="D40" s="877">
        <v>1</v>
      </c>
      <c r="E40" s="964">
        <v>650</v>
      </c>
      <c r="F40" s="877">
        <v>1.44</v>
      </c>
      <c r="G40" s="877">
        <f t="shared" si="2"/>
        <v>936</v>
      </c>
      <c r="H40" s="877">
        <v>12</v>
      </c>
      <c r="I40" s="878">
        <f t="shared" si="3"/>
        <v>11232</v>
      </c>
    </row>
    <row r="41" spans="1:9" ht="12.75">
      <c r="A41" s="730"/>
      <c r="B41" s="731"/>
      <c r="C41" s="732"/>
      <c r="D41" s="733"/>
      <c r="E41" s="733"/>
      <c r="F41" s="733"/>
      <c r="G41" s="733"/>
      <c r="H41" s="733"/>
      <c r="I41" s="734"/>
    </row>
    <row r="42" spans="1:9" s="438" customFormat="1" ht="12.75">
      <c r="A42" s="874">
        <v>8</v>
      </c>
      <c r="B42" s="875" t="s">
        <v>553</v>
      </c>
      <c r="C42" s="876">
        <v>4</v>
      </c>
      <c r="D42" s="877">
        <v>1</v>
      </c>
      <c r="E42" s="964">
        <v>450</v>
      </c>
      <c r="F42" s="877">
        <v>1.44</v>
      </c>
      <c r="G42" s="877">
        <f t="shared" si="2"/>
        <v>2592</v>
      </c>
      <c r="H42" s="877">
        <v>12</v>
      </c>
      <c r="I42" s="878">
        <f t="shared" si="3"/>
        <v>31104</v>
      </c>
    </row>
    <row r="43" spans="1:9" ht="12.75">
      <c r="A43" s="730"/>
      <c r="B43" s="731"/>
      <c r="C43" s="732"/>
      <c r="D43" s="733"/>
      <c r="E43" s="733"/>
      <c r="F43" s="733"/>
      <c r="G43" s="733"/>
      <c r="H43" s="733"/>
      <c r="I43" s="734"/>
    </row>
    <row r="44" spans="1:9" ht="16.5" thickBot="1">
      <c r="A44" s="735"/>
      <c r="B44" s="743" t="s">
        <v>517</v>
      </c>
      <c r="C44" s="737"/>
      <c r="D44" s="738"/>
      <c r="E44" s="738"/>
      <c r="F44" s="738"/>
      <c r="G44" s="738"/>
      <c r="H44" s="738"/>
      <c r="I44" s="739">
        <f>SUM(I28:I43)</f>
        <v>218315.52000000002</v>
      </c>
    </row>
    <row r="49" spans="1:9" ht="18">
      <c r="A49" s="1293" t="s">
        <v>554</v>
      </c>
      <c r="B49" s="1293"/>
      <c r="C49" s="1293"/>
      <c r="D49" s="1293"/>
      <c r="E49" s="1293"/>
      <c r="F49" s="1293"/>
      <c r="G49" s="1293"/>
      <c r="H49" s="1293"/>
      <c r="I49" s="744"/>
    </row>
    <row r="50" ht="13.5" thickBot="1"/>
    <row r="51" spans="1:9" ht="26.25" thickBot="1">
      <c r="A51" s="725" t="s">
        <v>326</v>
      </c>
      <c r="B51" s="726" t="s">
        <v>555</v>
      </c>
      <c r="C51" s="727" t="s">
        <v>534</v>
      </c>
      <c r="D51" s="727" t="s">
        <v>2408</v>
      </c>
      <c r="E51" s="728" t="s">
        <v>556</v>
      </c>
      <c r="F51" s="728" t="s">
        <v>537</v>
      </c>
      <c r="G51" s="728" t="s">
        <v>557</v>
      </c>
      <c r="H51" s="729" t="s">
        <v>558</v>
      </c>
      <c r="I51" s="745"/>
    </row>
    <row r="52" spans="1:8" ht="12.75">
      <c r="A52" s="746"/>
      <c r="B52" s="747"/>
      <c r="C52" s="748"/>
      <c r="D52" s="749"/>
      <c r="E52" s="749"/>
      <c r="F52" s="749"/>
      <c r="G52" s="749"/>
      <c r="H52" s="750"/>
    </row>
    <row r="53" spans="1:8" ht="12.75">
      <c r="A53" s="730">
        <v>1</v>
      </c>
      <c r="B53" s="731" t="s">
        <v>559</v>
      </c>
      <c r="C53" s="732">
        <v>1</v>
      </c>
      <c r="D53" s="733">
        <v>0.5</v>
      </c>
      <c r="E53" s="733">
        <v>4500</v>
      </c>
      <c r="F53" s="733">
        <f>C53*D53*E53</f>
        <v>2250</v>
      </c>
      <c r="G53" s="733">
        <v>12</v>
      </c>
      <c r="H53" s="734">
        <f>F53*G53</f>
        <v>27000</v>
      </c>
    </row>
    <row r="54" spans="1:8" ht="12.75">
      <c r="A54" s="730"/>
      <c r="B54" s="731"/>
      <c r="C54" s="732"/>
      <c r="D54" s="733"/>
      <c r="E54" s="733"/>
      <c r="F54" s="733"/>
      <c r="G54" s="733"/>
      <c r="H54" s="734"/>
    </row>
    <row r="55" spans="1:8" ht="12.75">
      <c r="A55" s="730">
        <v>2</v>
      </c>
      <c r="B55" s="731" t="s">
        <v>560</v>
      </c>
      <c r="C55" s="732">
        <v>1</v>
      </c>
      <c r="D55" s="733">
        <v>0.75</v>
      </c>
      <c r="E55" s="733">
        <v>8500</v>
      </c>
      <c r="F55" s="733">
        <f aca="true" t="shared" si="4" ref="F55:F65">C55*D55*E55</f>
        <v>6375</v>
      </c>
      <c r="G55" s="733">
        <v>12</v>
      </c>
      <c r="H55" s="734">
        <f aca="true" t="shared" si="5" ref="H55:H65">F55*G55</f>
        <v>76500</v>
      </c>
    </row>
    <row r="56" spans="1:8" ht="12.75">
      <c r="A56" s="730"/>
      <c r="B56" s="731"/>
      <c r="C56" s="732"/>
      <c r="D56" s="733"/>
      <c r="E56" s="733"/>
      <c r="F56" s="733"/>
      <c r="G56" s="733"/>
      <c r="H56" s="734"/>
    </row>
    <row r="57" spans="1:8" ht="12.75">
      <c r="A57" s="730">
        <v>3</v>
      </c>
      <c r="B57" s="731" t="s">
        <v>561</v>
      </c>
      <c r="C57" s="732">
        <v>1</v>
      </c>
      <c r="D57" s="733">
        <v>0.25</v>
      </c>
      <c r="E57" s="733">
        <v>950</v>
      </c>
      <c r="F57" s="733">
        <f t="shared" si="4"/>
        <v>237.5</v>
      </c>
      <c r="G57" s="733">
        <v>12</v>
      </c>
      <c r="H57" s="734">
        <f t="shared" si="5"/>
        <v>2850</v>
      </c>
    </row>
    <row r="58" spans="1:8" ht="12.75">
      <c r="A58" s="730"/>
      <c r="B58" s="731"/>
      <c r="C58" s="732"/>
      <c r="D58" s="733"/>
      <c r="E58" s="733"/>
      <c r="F58" s="733"/>
      <c r="G58" s="733"/>
      <c r="H58" s="734"/>
    </row>
    <row r="59" spans="1:8" ht="12.75">
      <c r="A59" s="730">
        <v>4</v>
      </c>
      <c r="B59" s="731" t="s">
        <v>562</v>
      </c>
      <c r="C59" s="732">
        <v>1</v>
      </c>
      <c r="D59" s="733">
        <v>0.25</v>
      </c>
      <c r="E59" s="733">
        <v>800</v>
      </c>
      <c r="F59" s="733">
        <f t="shared" si="4"/>
        <v>200</v>
      </c>
      <c r="G59" s="733">
        <v>12</v>
      </c>
      <c r="H59" s="734">
        <f t="shared" si="5"/>
        <v>2400</v>
      </c>
    </row>
    <row r="60" spans="1:8" ht="12.75">
      <c r="A60" s="730"/>
      <c r="B60" s="731"/>
      <c r="C60" s="732"/>
      <c r="D60" s="733"/>
      <c r="E60" s="733"/>
      <c r="F60" s="733"/>
      <c r="G60" s="733"/>
      <c r="H60" s="734"/>
    </row>
    <row r="61" spans="1:8" ht="12.75">
      <c r="A61" s="730">
        <v>5</v>
      </c>
      <c r="B61" s="731" t="s">
        <v>563</v>
      </c>
      <c r="C61" s="732">
        <v>3</v>
      </c>
      <c r="D61" s="733">
        <v>0.25</v>
      </c>
      <c r="E61" s="733">
        <v>1200</v>
      </c>
      <c r="F61" s="733">
        <f t="shared" si="4"/>
        <v>900</v>
      </c>
      <c r="G61" s="733">
        <v>12</v>
      </c>
      <c r="H61" s="734">
        <f t="shared" si="5"/>
        <v>10800</v>
      </c>
    </row>
    <row r="62" spans="1:8" ht="12.75">
      <c r="A62" s="730"/>
      <c r="B62" s="731"/>
      <c r="C62" s="732"/>
      <c r="D62" s="733"/>
      <c r="E62" s="733"/>
      <c r="F62" s="733"/>
      <c r="G62" s="733"/>
      <c r="H62" s="734"/>
    </row>
    <row r="63" spans="1:8" ht="12.75">
      <c r="A63" s="730">
        <v>6</v>
      </c>
      <c r="B63" s="731" t="s">
        <v>564</v>
      </c>
      <c r="C63" s="732">
        <v>1</v>
      </c>
      <c r="D63" s="733">
        <v>1</v>
      </c>
      <c r="E63" s="733">
        <v>600</v>
      </c>
      <c r="F63" s="733">
        <f t="shared" si="4"/>
        <v>600</v>
      </c>
      <c r="G63" s="733">
        <v>12</v>
      </c>
      <c r="H63" s="734">
        <f t="shared" si="5"/>
        <v>7200</v>
      </c>
    </row>
    <row r="64" spans="1:8" ht="12.75">
      <c r="A64" s="730"/>
      <c r="B64" s="731"/>
      <c r="C64" s="732"/>
      <c r="D64" s="733"/>
      <c r="E64" s="733"/>
      <c r="F64" s="733"/>
      <c r="G64" s="733"/>
      <c r="H64" s="734"/>
    </row>
    <row r="65" spans="1:8" ht="12.75">
      <c r="A65" s="730">
        <v>7</v>
      </c>
      <c r="B65" s="731" t="s">
        <v>565</v>
      </c>
      <c r="C65" s="732">
        <v>1</v>
      </c>
      <c r="D65" s="733">
        <v>1</v>
      </c>
      <c r="E65" s="733">
        <v>60</v>
      </c>
      <c r="F65" s="733">
        <f t="shared" si="4"/>
        <v>60</v>
      </c>
      <c r="G65" s="733">
        <v>12</v>
      </c>
      <c r="H65" s="734">
        <f t="shared" si="5"/>
        <v>720</v>
      </c>
    </row>
    <row r="66" spans="1:8" ht="12.75">
      <c r="A66" s="730"/>
      <c r="B66" s="731"/>
      <c r="C66" s="732"/>
      <c r="D66" s="733"/>
      <c r="E66" s="733"/>
      <c r="F66" s="733"/>
      <c r="G66" s="733"/>
      <c r="H66" s="734"/>
    </row>
    <row r="67" spans="1:8" ht="16.5" thickBot="1">
      <c r="A67" s="735"/>
      <c r="B67" s="743" t="s">
        <v>517</v>
      </c>
      <c r="C67" s="737"/>
      <c r="D67" s="738"/>
      <c r="E67" s="738"/>
      <c r="F67" s="738"/>
      <c r="G67" s="738"/>
      <c r="H67" s="739">
        <f>SUM(H53:H66)</f>
        <v>127470</v>
      </c>
    </row>
    <row r="68" spans="1:8" ht="12.75">
      <c r="A68" s="645"/>
      <c r="B68" s="751"/>
      <c r="C68" s="752"/>
      <c r="D68" s="753"/>
      <c r="E68" s="753"/>
      <c r="F68" s="753"/>
      <c r="G68" s="753"/>
      <c r="H68" s="753"/>
    </row>
    <row r="70" spans="1:8" ht="18">
      <c r="A70" s="1293" t="s">
        <v>2948</v>
      </c>
      <c r="B70" s="1293"/>
      <c r="C70" s="1293"/>
      <c r="D70" s="1293"/>
      <c r="E70" s="1293"/>
      <c r="F70" s="1293"/>
      <c r="G70" s="754"/>
      <c r="H70" s="755"/>
    </row>
    <row r="71" ht="13.5" thickBot="1"/>
    <row r="72" spans="1:6" ht="39" thickBot="1">
      <c r="A72" s="725" t="s">
        <v>2556</v>
      </c>
      <c r="B72" s="726" t="s">
        <v>2479</v>
      </c>
      <c r="C72" s="727" t="s">
        <v>2556</v>
      </c>
      <c r="D72" s="728" t="s">
        <v>2949</v>
      </c>
      <c r="E72" s="728" t="s">
        <v>557</v>
      </c>
      <c r="F72" s="729" t="s">
        <v>558</v>
      </c>
    </row>
    <row r="73" spans="1:6" ht="12.75">
      <c r="A73" s="746"/>
      <c r="B73" s="747"/>
      <c r="C73" s="748"/>
      <c r="D73" s="749"/>
      <c r="E73" s="749"/>
      <c r="F73" s="750"/>
    </row>
    <row r="74" spans="1:6" ht="12.75">
      <c r="A74" s="730">
        <v>1</v>
      </c>
      <c r="B74" s="731" t="s">
        <v>2950</v>
      </c>
      <c r="C74" s="732">
        <v>1</v>
      </c>
      <c r="D74" s="733">
        <v>300</v>
      </c>
      <c r="E74" s="733">
        <v>12</v>
      </c>
      <c r="F74" s="734">
        <f>C74*D74*E74</f>
        <v>3600</v>
      </c>
    </row>
    <row r="75" spans="1:6" ht="12.75">
      <c r="A75" s="730"/>
      <c r="B75" s="731"/>
      <c r="C75" s="732"/>
      <c r="D75" s="733"/>
      <c r="E75" s="733"/>
      <c r="F75" s="734"/>
    </row>
    <row r="76" spans="1:6" ht="12.75">
      <c r="A76" s="730">
        <v>2</v>
      </c>
      <c r="B76" s="731" t="s">
        <v>2951</v>
      </c>
      <c r="C76" s="732">
        <v>5</v>
      </c>
      <c r="D76" s="733">
        <v>10</v>
      </c>
      <c r="E76" s="733">
        <v>12</v>
      </c>
      <c r="F76" s="734">
        <f aca="true" t="shared" si="6" ref="F76:F86">C76*D76*E76</f>
        <v>600</v>
      </c>
    </row>
    <row r="77" spans="1:6" ht="12.75">
      <c r="A77" s="730"/>
      <c r="B77" s="731"/>
      <c r="C77" s="732"/>
      <c r="D77" s="733"/>
      <c r="E77" s="733"/>
      <c r="F77" s="734"/>
    </row>
    <row r="78" spans="1:6" ht="12.75">
      <c r="A78" s="730">
        <v>3</v>
      </c>
      <c r="B78" s="731" t="s">
        <v>2952</v>
      </c>
      <c r="C78" s="732">
        <v>10</v>
      </c>
      <c r="D78" s="733">
        <v>5</v>
      </c>
      <c r="E78" s="733">
        <v>12</v>
      </c>
      <c r="F78" s="734">
        <f t="shared" si="6"/>
        <v>600</v>
      </c>
    </row>
    <row r="79" spans="1:6" ht="12.75">
      <c r="A79" s="730"/>
      <c r="B79" s="731"/>
      <c r="C79" s="732"/>
      <c r="D79" s="733"/>
      <c r="E79" s="733"/>
      <c r="F79" s="734"/>
    </row>
    <row r="80" spans="1:6" ht="12.75">
      <c r="A80" s="730">
        <v>4</v>
      </c>
      <c r="B80" s="731" t="s">
        <v>2953</v>
      </c>
      <c r="C80" s="732">
        <v>4</v>
      </c>
      <c r="D80" s="733">
        <v>10</v>
      </c>
      <c r="E80" s="733">
        <v>12</v>
      </c>
      <c r="F80" s="734">
        <f t="shared" si="6"/>
        <v>480</v>
      </c>
    </row>
    <row r="81" spans="1:6" ht="12.75">
      <c r="A81" s="730"/>
      <c r="B81" s="731"/>
      <c r="C81" s="732"/>
      <c r="D81" s="733"/>
      <c r="E81" s="733"/>
      <c r="F81" s="734"/>
    </row>
    <row r="82" spans="1:6" ht="12.75">
      <c r="A82" s="730">
        <v>6</v>
      </c>
      <c r="B82" s="731" t="s">
        <v>2954</v>
      </c>
      <c r="C82" s="732">
        <v>1</v>
      </c>
      <c r="D82" s="733">
        <v>10</v>
      </c>
      <c r="E82" s="733">
        <v>12</v>
      </c>
      <c r="F82" s="734">
        <f t="shared" si="6"/>
        <v>120</v>
      </c>
    </row>
    <row r="83" spans="1:6" ht="12.75">
      <c r="A83" s="730"/>
      <c r="B83" s="731"/>
      <c r="C83" s="732"/>
      <c r="D83" s="733"/>
      <c r="E83" s="733"/>
      <c r="F83" s="734"/>
    </row>
    <row r="84" spans="1:6" ht="12.75">
      <c r="A84" s="730">
        <v>7</v>
      </c>
      <c r="B84" s="731" t="s">
        <v>2955</v>
      </c>
      <c r="C84" s="732">
        <v>3</v>
      </c>
      <c r="D84" s="733">
        <v>2</v>
      </c>
      <c r="E84" s="733">
        <v>12</v>
      </c>
      <c r="F84" s="734">
        <f t="shared" si="6"/>
        <v>72</v>
      </c>
    </row>
    <row r="85" spans="1:6" ht="12.75">
      <c r="A85" s="730"/>
      <c r="B85" s="731"/>
      <c r="C85" s="732"/>
      <c r="D85" s="733"/>
      <c r="E85" s="733"/>
      <c r="F85" s="734"/>
    </row>
    <row r="86" spans="1:6" ht="12.75">
      <c r="A86" s="730">
        <v>8</v>
      </c>
      <c r="B86" s="731" t="s">
        <v>3028</v>
      </c>
      <c r="C86" s="732">
        <v>2</v>
      </c>
      <c r="D86" s="733">
        <v>5</v>
      </c>
      <c r="E86" s="733">
        <v>12</v>
      </c>
      <c r="F86" s="734">
        <f t="shared" si="6"/>
        <v>120</v>
      </c>
    </row>
    <row r="87" spans="1:6" ht="12.75">
      <c r="A87" s="730"/>
      <c r="B87" s="731"/>
      <c r="C87" s="732"/>
      <c r="D87" s="733"/>
      <c r="E87" s="733"/>
      <c r="F87" s="734"/>
    </row>
    <row r="88" spans="1:6" ht="12.75">
      <c r="A88" s="730">
        <v>9</v>
      </c>
      <c r="B88" s="731" t="s">
        <v>3029</v>
      </c>
      <c r="C88" s="732" t="s">
        <v>3030</v>
      </c>
      <c r="D88" s="733">
        <v>250</v>
      </c>
      <c r="E88" s="733">
        <v>12</v>
      </c>
      <c r="F88" s="734">
        <f>D88*E88</f>
        <v>3000</v>
      </c>
    </row>
    <row r="89" spans="1:6" ht="12.75">
      <c r="A89" s="730"/>
      <c r="B89" s="731"/>
      <c r="C89" s="732"/>
      <c r="D89" s="733"/>
      <c r="E89" s="733"/>
      <c r="F89" s="734"/>
    </row>
    <row r="90" spans="1:6" ht="12.75">
      <c r="A90" s="730">
        <v>10</v>
      </c>
      <c r="B90" s="731" t="s">
        <v>3031</v>
      </c>
      <c r="C90" s="732" t="s">
        <v>3030</v>
      </c>
      <c r="D90" s="733">
        <v>400</v>
      </c>
      <c r="E90" s="733">
        <v>12</v>
      </c>
      <c r="F90" s="734">
        <f>D90*E90</f>
        <v>4800</v>
      </c>
    </row>
    <row r="91" spans="1:6" ht="12.75">
      <c r="A91" s="730"/>
      <c r="B91" s="731"/>
      <c r="C91" s="732"/>
      <c r="D91" s="733"/>
      <c r="E91" s="733"/>
      <c r="F91" s="734"/>
    </row>
    <row r="92" spans="1:6" ht="12.75">
      <c r="A92" s="730">
        <v>11</v>
      </c>
      <c r="B92" s="731" t="s">
        <v>3032</v>
      </c>
      <c r="C92" s="732" t="s">
        <v>3030</v>
      </c>
      <c r="D92" s="733">
        <v>200</v>
      </c>
      <c r="E92" s="733">
        <v>12</v>
      </c>
      <c r="F92" s="734">
        <f>D92*E92</f>
        <v>2400</v>
      </c>
    </row>
    <row r="93" spans="1:6" ht="12.75">
      <c r="A93" s="730"/>
      <c r="B93" s="731"/>
      <c r="C93" s="732"/>
      <c r="D93" s="733"/>
      <c r="E93" s="733"/>
      <c r="F93" s="734"/>
    </row>
    <row r="94" spans="1:6" ht="16.5" thickBot="1">
      <c r="A94" s="735"/>
      <c r="B94" s="743" t="s">
        <v>517</v>
      </c>
      <c r="C94" s="737"/>
      <c r="D94" s="738"/>
      <c r="E94" s="738"/>
      <c r="F94" s="739">
        <f>SUM(F73:F93)</f>
        <v>15792</v>
      </c>
    </row>
    <row r="97" spans="1:8" ht="18">
      <c r="A97" s="1293" t="s">
        <v>3033</v>
      </c>
      <c r="B97" s="1293"/>
      <c r="C97" s="1293"/>
      <c r="D97" s="1293"/>
      <c r="E97" s="1293"/>
      <c r="F97" s="1293"/>
      <c r="G97" s="1293"/>
      <c r="H97" s="1293"/>
    </row>
    <row r="98" ht="13.5" thickBot="1"/>
    <row r="99" spans="1:8" ht="26.25" thickBot="1">
      <c r="A99" s="725" t="s">
        <v>2556</v>
      </c>
      <c r="B99" s="726" t="s">
        <v>2479</v>
      </c>
      <c r="C99" s="727" t="s">
        <v>2185</v>
      </c>
      <c r="D99" s="727" t="s">
        <v>3034</v>
      </c>
      <c r="E99" s="727" t="s">
        <v>3035</v>
      </c>
      <c r="F99" s="728" t="s">
        <v>3036</v>
      </c>
      <c r="G99" s="728" t="s">
        <v>3037</v>
      </c>
      <c r="H99" s="729" t="s">
        <v>3038</v>
      </c>
    </row>
    <row r="100" spans="1:8" ht="12.75">
      <c r="A100" s="746"/>
      <c r="B100" s="747"/>
      <c r="C100" s="748"/>
      <c r="D100" s="749"/>
      <c r="E100" s="749"/>
      <c r="F100" s="749"/>
      <c r="G100" s="749"/>
      <c r="H100" s="750"/>
    </row>
    <row r="101" spans="1:9" s="930" customFormat="1" ht="14.25">
      <c r="A101" s="991">
        <v>1</v>
      </c>
      <c r="B101" s="992" t="s">
        <v>3039</v>
      </c>
      <c r="C101" s="993" t="s">
        <v>1565</v>
      </c>
      <c r="D101" s="964">
        <v>40</v>
      </c>
      <c r="E101" s="964">
        <v>3000</v>
      </c>
      <c r="F101" s="964">
        <f>D101*E101</f>
        <v>120000</v>
      </c>
      <c r="G101" s="964">
        <f>F101*0.3</f>
        <v>36000</v>
      </c>
      <c r="H101" s="994">
        <f>F101-G101</f>
        <v>84000</v>
      </c>
      <c r="I101" s="966"/>
    </row>
    <row r="102" spans="1:8" ht="12.75">
      <c r="A102" s="730"/>
      <c r="B102" s="731"/>
      <c r="C102" s="740"/>
      <c r="D102" s="733"/>
      <c r="E102" s="733"/>
      <c r="F102" s="733"/>
      <c r="G102" s="733"/>
      <c r="H102" s="734"/>
    </row>
    <row r="103" spans="1:9" s="930" customFormat="1" ht="14.25">
      <c r="A103" s="991">
        <v>2</v>
      </c>
      <c r="B103" s="992" t="s">
        <v>3040</v>
      </c>
      <c r="C103" s="993" t="s">
        <v>1565</v>
      </c>
      <c r="D103" s="964">
        <v>75</v>
      </c>
      <c r="E103" s="964">
        <v>500</v>
      </c>
      <c r="F103" s="964">
        <f aca="true" t="shared" si="7" ref="F103:F123">D103*E103</f>
        <v>37500</v>
      </c>
      <c r="G103" s="964">
        <f aca="true" t="shared" si="8" ref="G103:G123">F103*0.3</f>
        <v>11250</v>
      </c>
      <c r="H103" s="994">
        <f aca="true" t="shared" si="9" ref="H103:H123">F103-G103</f>
        <v>26250</v>
      </c>
      <c r="I103" s="966"/>
    </row>
    <row r="104" spans="1:8" ht="12.75">
      <c r="A104" s="730"/>
      <c r="B104" s="731"/>
      <c r="C104" s="740"/>
      <c r="D104" s="733"/>
      <c r="E104" s="733"/>
      <c r="F104" s="733"/>
      <c r="G104" s="733"/>
      <c r="H104" s="734"/>
    </row>
    <row r="105" spans="1:9" s="930" customFormat="1" ht="14.25">
      <c r="A105" s="991">
        <v>3</v>
      </c>
      <c r="B105" s="992" t="s">
        <v>3041</v>
      </c>
      <c r="C105" s="993" t="s">
        <v>1565</v>
      </c>
      <c r="D105" s="964">
        <v>75</v>
      </c>
      <c r="E105" s="964">
        <v>150</v>
      </c>
      <c r="F105" s="964">
        <f t="shared" si="7"/>
        <v>11250</v>
      </c>
      <c r="G105" s="964">
        <f t="shared" si="8"/>
        <v>3375</v>
      </c>
      <c r="H105" s="994">
        <f t="shared" si="9"/>
        <v>7875</v>
      </c>
      <c r="I105" s="966"/>
    </row>
    <row r="106" spans="1:8" ht="12.75">
      <c r="A106" s="730"/>
      <c r="B106" s="731"/>
      <c r="C106" s="740"/>
      <c r="D106" s="733"/>
      <c r="E106" s="733"/>
      <c r="F106" s="733"/>
      <c r="G106" s="733"/>
      <c r="H106" s="734"/>
    </row>
    <row r="107" spans="1:8" ht="14.25">
      <c r="A107" s="730">
        <v>4</v>
      </c>
      <c r="B107" s="731" t="s">
        <v>3042</v>
      </c>
      <c r="C107" s="740" t="s">
        <v>1565</v>
      </c>
      <c r="D107" s="733">
        <v>75</v>
      </c>
      <c r="E107" s="733">
        <v>150</v>
      </c>
      <c r="F107" s="733">
        <f t="shared" si="7"/>
        <v>11250</v>
      </c>
      <c r="G107" s="733">
        <f t="shared" si="8"/>
        <v>3375</v>
      </c>
      <c r="H107" s="734">
        <f t="shared" si="9"/>
        <v>7875</v>
      </c>
    </row>
    <row r="108" spans="1:8" ht="12.75">
      <c r="A108" s="730"/>
      <c r="B108" s="731"/>
      <c r="C108" s="740"/>
      <c r="D108" s="733"/>
      <c r="E108" s="733"/>
      <c r="F108" s="733"/>
      <c r="G108" s="733"/>
      <c r="H108" s="734"/>
    </row>
    <row r="109" spans="1:8" ht="14.25">
      <c r="A109" s="730">
        <v>5</v>
      </c>
      <c r="B109" s="731" t="s">
        <v>3043</v>
      </c>
      <c r="C109" s="740" t="s">
        <v>1565</v>
      </c>
      <c r="D109" s="733">
        <v>4</v>
      </c>
      <c r="E109" s="733">
        <v>300</v>
      </c>
      <c r="F109" s="733">
        <f t="shared" si="7"/>
        <v>1200</v>
      </c>
      <c r="G109" s="733">
        <f t="shared" si="8"/>
        <v>360</v>
      </c>
      <c r="H109" s="734">
        <f t="shared" si="9"/>
        <v>840</v>
      </c>
    </row>
    <row r="110" spans="1:8" ht="12.75">
      <c r="A110" s="730"/>
      <c r="B110" s="731"/>
      <c r="C110" s="740"/>
      <c r="D110" s="733"/>
      <c r="E110" s="733"/>
      <c r="F110" s="733"/>
      <c r="G110" s="733"/>
      <c r="H110" s="734"/>
    </row>
    <row r="111" spans="1:8" ht="14.25">
      <c r="A111" s="730">
        <v>6</v>
      </c>
      <c r="B111" s="731" t="s">
        <v>3044</v>
      </c>
      <c r="C111" s="740" t="s">
        <v>1565</v>
      </c>
      <c r="D111" s="733">
        <v>4</v>
      </c>
      <c r="E111" s="733">
        <v>400</v>
      </c>
      <c r="F111" s="733">
        <f t="shared" si="7"/>
        <v>1600</v>
      </c>
      <c r="G111" s="733">
        <f t="shared" si="8"/>
        <v>480</v>
      </c>
      <c r="H111" s="734">
        <f t="shared" si="9"/>
        <v>1120</v>
      </c>
    </row>
    <row r="112" spans="1:8" ht="12.75">
      <c r="A112" s="730"/>
      <c r="B112" s="731"/>
      <c r="C112" s="740"/>
      <c r="D112" s="733"/>
      <c r="E112" s="733"/>
      <c r="F112" s="733"/>
      <c r="G112" s="733"/>
      <c r="H112" s="734"/>
    </row>
    <row r="113" spans="1:8" ht="14.25">
      <c r="A113" s="730">
        <v>7</v>
      </c>
      <c r="B113" s="731" t="s">
        <v>3045</v>
      </c>
      <c r="C113" s="740" t="s">
        <v>1565</v>
      </c>
      <c r="D113" s="733">
        <v>4</v>
      </c>
      <c r="E113" s="733">
        <v>400</v>
      </c>
      <c r="F113" s="733">
        <f t="shared" si="7"/>
        <v>1600</v>
      </c>
      <c r="G113" s="733">
        <f t="shared" si="8"/>
        <v>480</v>
      </c>
      <c r="H113" s="734">
        <f t="shared" si="9"/>
        <v>1120</v>
      </c>
    </row>
    <row r="114" spans="1:8" ht="12.75">
      <c r="A114" s="730"/>
      <c r="B114" s="731"/>
      <c r="C114" s="740"/>
      <c r="D114" s="733"/>
      <c r="E114" s="733"/>
      <c r="F114" s="733"/>
      <c r="G114" s="733"/>
      <c r="H114" s="734"/>
    </row>
    <row r="115" spans="1:8" ht="14.25">
      <c r="A115" s="730">
        <v>8</v>
      </c>
      <c r="B115" s="731" t="s">
        <v>3046</v>
      </c>
      <c r="C115" s="740" t="s">
        <v>1565</v>
      </c>
      <c r="D115" s="733">
        <v>9</v>
      </c>
      <c r="E115" s="733">
        <v>300</v>
      </c>
      <c r="F115" s="733">
        <f t="shared" si="7"/>
        <v>2700</v>
      </c>
      <c r="G115" s="733">
        <f t="shared" si="8"/>
        <v>810</v>
      </c>
      <c r="H115" s="734">
        <f t="shared" si="9"/>
        <v>1890</v>
      </c>
    </row>
    <row r="116" spans="1:8" ht="12.75">
      <c r="A116" s="730"/>
      <c r="B116" s="731"/>
      <c r="C116" s="740"/>
      <c r="D116" s="733"/>
      <c r="E116" s="733"/>
      <c r="F116" s="733"/>
      <c r="G116" s="733"/>
      <c r="H116" s="734"/>
    </row>
    <row r="117" spans="1:8" ht="12.75">
      <c r="A117" s="730">
        <v>9</v>
      </c>
      <c r="B117" s="731" t="s">
        <v>3047</v>
      </c>
      <c r="C117" s="740" t="s">
        <v>92</v>
      </c>
      <c r="D117" s="733">
        <v>200</v>
      </c>
      <c r="E117" s="733">
        <v>10</v>
      </c>
      <c r="F117" s="733">
        <f t="shared" si="7"/>
        <v>2000</v>
      </c>
      <c r="G117" s="733">
        <f t="shared" si="8"/>
        <v>600</v>
      </c>
      <c r="H117" s="734">
        <f t="shared" si="9"/>
        <v>1400</v>
      </c>
    </row>
    <row r="118" spans="1:8" ht="12.75">
      <c r="A118" s="730"/>
      <c r="B118" s="731"/>
      <c r="C118" s="740"/>
      <c r="D118" s="733"/>
      <c r="E118" s="733"/>
      <c r="F118" s="733"/>
      <c r="G118" s="733"/>
      <c r="H118" s="734"/>
    </row>
    <row r="119" spans="1:8" ht="12.75">
      <c r="A119" s="730">
        <v>10</v>
      </c>
      <c r="B119" s="731" t="s">
        <v>3048</v>
      </c>
      <c r="C119" s="740" t="s">
        <v>92</v>
      </c>
      <c r="D119" s="733">
        <v>50</v>
      </c>
      <c r="E119" s="733">
        <v>50</v>
      </c>
      <c r="F119" s="733">
        <f t="shared" si="7"/>
        <v>2500</v>
      </c>
      <c r="G119" s="733">
        <f t="shared" si="8"/>
        <v>750</v>
      </c>
      <c r="H119" s="734">
        <f t="shared" si="9"/>
        <v>1750</v>
      </c>
    </row>
    <row r="120" spans="1:8" ht="12.75">
      <c r="A120" s="730"/>
      <c r="B120" s="731"/>
      <c r="C120" s="740"/>
      <c r="D120" s="733"/>
      <c r="E120" s="733"/>
      <c r="F120" s="733"/>
      <c r="G120" s="733"/>
      <c r="H120" s="734"/>
    </row>
    <row r="121" spans="1:8" ht="12.75">
      <c r="A121" s="730">
        <v>11</v>
      </c>
      <c r="B121" s="731" t="s">
        <v>3049</v>
      </c>
      <c r="C121" s="740" t="s">
        <v>92</v>
      </c>
      <c r="D121" s="733">
        <v>200</v>
      </c>
      <c r="E121" s="733">
        <v>10</v>
      </c>
      <c r="F121" s="733">
        <f t="shared" si="7"/>
        <v>2000</v>
      </c>
      <c r="G121" s="733">
        <f t="shared" si="8"/>
        <v>600</v>
      </c>
      <c r="H121" s="734">
        <f t="shared" si="9"/>
        <v>1400</v>
      </c>
    </row>
    <row r="122" spans="1:8" ht="12.75">
      <c r="A122" s="730"/>
      <c r="B122" s="731"/>
      <c r="C122" s="740"/>
      <c r="D122" s="733"/>
      <c r="E122" s="733"/>
      <c r="F122" s="733"/>
      <c r="G122" s="733"/>
      <c r="H122" s="734"/>
    </row>
    <row r="123" spans="1:8" ht="12.75">
      <c r="A123" s="730">
        <v>12</v>
      </c>
      <c r="B123" s="731" t="s">
        <v>3050</v>
      </c>
      <c r="C123" s="740" t="s">
        <v>149</v>
      </c>
      <c r="D123" s="733">
        <v>1200</v>
      </c>
      <c r="E123" s="733">
        <v>12</v>
      </c>
      <c r="F123" s="733">
        <f t="shared" si="7"/>
        <v>14400</v>
      </c>
      <c r="G123" s="733">
        <f t="shared" si="8"/>
        <v>4320</v>
      </c>
      <c r="H123" s="734">
        <f t="shared" si="9"/>
        <v>10080</v>
      </c>
    </row>
    <row r="124" spans="1:8" ht="12.75">
      <c r="A124" s="730"/>
      <c r="B124" s="731"/>
      <c r="C124" s="740"/>
      <c r="D124" s="733"/>
      <c r="E124" s="733"/>
      <c r="F124" s="733"/>
      <c r="G124" s="733"/>
      <c r="H124" s="734"/>
    </row>
    <row r="125" spans="1:8" ht="16.5" thickBot="1">
      <c r="A125" s="735"/>
      <c r="B125" s="743" t="s">
        <v>517</v>
      </c>
      <c r="C125" s="756"/>
      <c r="D125" s="738"/>
      <c r="E125" s="738"/>
      <c r="F125" s="738"/>
      <c r="G125" s="738"/>
      <c r="H125" s="739">
        <f>SUM(H101:H124)</f>
        <v>145600</v>
      </c>
    </row>
    <row r="127" spans="1:5" ht="15.75">
      <c r="A127" s="1294" t="s">
        <v>3051</v>
      </c>
      <c r="B127" s="1294"/>
      <c r="C127" s="1294"/>
      <c r="D127" s="1294"/>
      <c r="E127" s="1294"/>
    </row>
    <row r="128" ht="13.5" thickBot="1"/>
    <row r="129" spans="1:5" ht="26.25" thickBot="1">
      <c r="A129" s="725" t="s">
        <v>2556</v>
      </c>
      <c r="B129" s="726" t="s">
        <v>2479</v>
      </c>
      <c r="C129" s="728" t="s">
        <v>3052</v>
      </c>
      <c r="D129" s="728" t="s">
        <v>3053</v>
      </c>
      <c r="E129" s="729" t="s">
        <v>3036</v>
      </c>
    </row>
    <row r="130" spans="1:5" ht="12.75">
      <c r="A130" s="730"/>
      <c r="B130" s="731"/>
      <c r="C130" s="740"/>
      <c r="D130" s="741"/>
      <c r="E130" s="742"/>
    </row>
    <row r="131" spans="1:5" ht="12.75">
      <c r="A131" s="730">
        <v>1</v>
      </c>
      <c r="B131" s="731" t="s">
        <v>3054</v>
      </c>
      <c r="C131" s="732">
        <v>12</v>
      </c>
      <c r="D131" s="733">
        <v>300</v>
      </c>
      <c r="E131" s="734">
        <f>C131*D131</f>
        <v>3600</v>
      </c>
    </row>
    <row r="132" spans="1:5" ht="12.75">
      <c r="A132" s="730"/>
      <c r="B132" s="731"/>
      <c r="C132" s="732"/>
      <c r="D132" s="733"/>
      <c r="E132" s="734"/>
    </row>
    <row r="133" spans="1:5" ht="12.75">
      <c r="A133" s="730">
        <v>2</v>
      </c>
      <c r="B133" s="731" t="s">
        <v>560</v>
      </c>
      <c r="C133" s="732">
        <v>4</v>
      </c>
      <c r="D133" s="733">
        <v>150</v>
      </c>
      <c r="E133" s="734">
        <f>C133*D133</f>
        <v>600</v>
      </c>
    </row>
    <row r="134" spans="1:5" ht="12.75">
      <c r="A134" s="730"/>
      <c r="B134" s="731"/>
      <c r="C134" s="732"/>
      <c r="D134" s="733"/>
      <c r="E134" s="734"/>
    </row>
    <row r="135" spans="1:5" ht="13.5" thickBot="1">
      <c r="A135" s="757"/>
      <c r="B135" s="758" t="s">
        <v>517</v>
      </c>
      <c r="C135" s="759"/>
      <c r="D135" s="758"/>
      <c r="E135" s="760">
        <f>SUM(E131:E134)</f>
        <v>4200</v>
      </c>
    </row>
    <row r="137" spans="1:5" ht="18">
      <c r="A137" s="1293" t="s">
        <v>3055</v>
      </c>
      <c r="B137" s="1293"/>
      <c r="C137" s="1293"/>
      <c r="D137" s="744"/>
      <c r="E137" s="744"/>
    </row>
    <row r="138" ht="13.5" thickBot="1"/>
    <row r="139" spans="1:3" ht="13.5" thickBot="1">
      <c r="A139" s="725" t="s">
        <v>2556</v>
      </c>
      <c r="B139" s="726" t="s">
        <v>2479</v>
      </c>
      <c r="C139" s="761" t="s">
        <v>3056</v>
      </c>
    </row>
    <row r="140" spans="1:3" ht="12.75">
      <c r="A140" s="730"/>
      <c r="B140" s="731"/>
      <c r="C140" s="762"/>
    </row>
    <row r="141" spans="1:3" ht="38.25">
      <c r="A141" s="763">
        <v>1</v>
      </c>
      <c r="B141" s="764" t="s">
        <v>3057</v>
      </c>
      <c r="C141" s="765">
        <f>0.014*0.15*8000000</f>
        <v>16800</v>
      </c>
    </row>
    <row r="142" spans="1:3" ht="12.75">
      <c r="A142" s="766"/>
      <c r="B142" s="733"/>
      <c r="C142" s="765"/>
    </row>
    <row r="143" spans="1:3" ht="38.25">
      <c r="A143" s="763">
        <v>2</v>
      </c>
      <c r="B143" s="764" t="s">
        <v>900</v>
      </c>
      <c r="C143" s="765">
        <f>8000000*0.05*0.03</f>
        <v>12000</v>
      </c>
    </row>
    <row r="144" spans="1:3" ht="12.75">
      <c r="A144" s="766"/>
      <c r="B144" s="733"/>
      <c r="C144" s="765"/>
    </row>
    <row r="145" spans="1:3" ht="51">
      <c r="A145" s="763">
        <v>3</v>
      </c>
      <c r="B145" s="764" t="s">
        <v>3058</v>
      </c>
      <c r="C145" s="765">
        <f>0.03*8000000/24</f>
        <v>10000</v>
      </c>
    </row>
    <row r="146" spans="1:3" ht="12.75">
      <c r="A146" s="763"/>
      <c r="B146" s="733"/>
      <c r="C146" s="765"/>
    </row>
    <row r="147" spans="1:3" ht="38.25">
      <c r="A147" s="763">
        <v>4</v>
      </c>
      <c r="B147" s="764" t="s">
        <v>3059</v>
      </c>
      <c r="C147" s="765">
        <f>0.024*1600000</f>
        <v>38400</v>
      </c>
    </row>
    <row r="148" spans="1:3" ht="12.75">
      <c r="A148" s="766"/>
      <c r="B148" s="733"/>
      <c r="C148" s="765"/>
    </row>
    <row r="149" spans="1:3" ht="12.75">
      <c r="A149" s="766">
        <v>5</v>
      </c>
      <c r="B149" s="733" t="s">
        <v>3060</v>
      </c>
      <c r="C149" s="765">
        <f>0.014*80000</f>
        <v>1120</v>
      </c>
    </row>
    <row r="150" spans="1:3" ht="12.75">
      <c r="A150" s="766"/>
      <c r="B150" s="733"/>
      <c r="C150" s="765"/>
    </row>
    <row r="151" spans="1:3" ht="13.5" thickBot="1">
      <c r="A151" s="757"/>
      <c r="B151" s="738"/>
      <c r="C151" s="767">
        <f>SUM(C141:C150)</f>
        <v>78320</v>
      </c>
    </row>
    <row r="152" spans="1:3" ht="12.75">
      <c r="A152" s="561"/>
      <c r="B152" s="561"/>
      <c r="C152" s="768"/>
    </row>
    <row r="153" spans="1:3" ht="12.75">
      <c r="A153" s="561"/>
      <c r="B153" s="561"/>
      <c r="C153" s="768"/>
    </row>
    <row r="154" spans="1:7" ht="18">
      <c r="A154" s="1291" t="s">
        <v>3061</v>
      </c>
      <c r="B154" s="1291"/>
      <c r="C154" s="1291"/>
      <c r="D154" s="769"/>
      <c r="E154" s="769"/>
      <c r="F154" s="769"/>
      <c r="G154" s="769"/>
    </row>
    <row r="155" spans="1:7" ht="18.75" thickBot="1">
      <c r="A155" s="1298" t="s">
        <v>3062</v>
      </c>
      <c r="B155" s="1298"/>
      <c r="C155" s="1298"/>
      <c r="D155" s="769"/>
      <c r="E155" s="769"/>
      <c r="F155" s="769"/>
      <c r="G155" s="769"/>
    </row>
    <row r="156" spans="1:3" ht="13.5" thickBot="1">
      <c r="A156" s="770" t="s">
        <v>2556</v>
      </c>
      <c r="B156" s="771" t="s">
        <v>2479</v>
      </c>
      <c r="C156" s="772" t="s">
        <v>3056</v>
      </c>
    </row>
    <row r="157" spans="1:3" ht="12.75">
      <c r="A157" s="773"/>
      <c r="B157" s="774"/>
      <c r="C157" s="775"/>
    </row>
    <row r="158" spans="1:3" ht="12.75">
      <c r="A158" s="766">
        <v>1</v>
      </c>
      <c r="B158" s="733" t="s">
        <v>3063</v>
      </c>
      <c r="C158" s="775">
        <f>I20</f>
        <v>366405.12</v>
      </c>
    </row>
    <row r="159" spans="1:3" ht="12.75">
      <c r="A159" s="766"/>
      <c r="B159" s="733"/>
      <c r="C159" s="775"/>
    </row>
    <row r="160" spans="1:3" ht="12.75">
      <c r="A160" s="766">
        <v>2</v>
      </c>
      <c r="B160" s="733" t="s">
        <v>3064</v>
      </c>
      <c r="C160" s="775">
        <f>I44</f>
        <v>218315.52000000002</v>
      </c>
    </row>
    <row r="161" spans="1:3" ht="12.75">
      <c r="A161" s="766"/>
      <c r="B161" s="733"/>
      <c r="C161" s="775"/>
    </row>
    <row r="162" spans="1:3" ht="12.75">
      <c r="A162" s="766">
        <v>3</v>
      </c>
      <c r="B162" s="733" t="s">
        <v>3065</v>
      </c>
      <c r="C162" s="775">
        <f>H67</f>
        <v>127470</v>
      </c>
    </row>
    <row r="163" spans="1:3" ht="12.75">
      <c r="A163" s="766"/>
      <c r="B163" s="733"/>
      <c r="C163" s="775"/>
    </row>
    <row r="164" spans="1:3" ht="25.5">
      <c r="A164" s="766">
        <v>4</v>
      </c>
      <c r="B164" s="776" t="s">
        <v>3066</v>
      </c>
      <c r="C164" s="775">
        <f>F94</f>
        <v>15792</v>
      </c>
    </row>
    <row r="165" spans="1:3" ht="12.75">
      <c r="A165" s="766"/>
      <c r="B165" s="733"/>
      <c r="C165" s="775"/>
    </row>
    <row r="166" spans="1:3" ht="12.75">
      <c r="A166" s="766">
        <v>5</v>
      </c>
      <c r="B166" s="733" t="s">
        <v>3067</v>
      </c>
      <c r="C166" s="775">
        <f>H125</f>
        <v>145600</v>
      </c>
    </row>
    <row r="167" spans="1:3" ht="12.75">
      <c r="A167" s="766"/>
      <c r="B167" s="733"/>
      <c r="C167" s="775"/>
    </row>
    <row r="168" spans="1:3" ht="12.75">
      <c r="A168" s="766">
        <v>6</v>
      </c>
      <c r="B168" s="733" t="s">
        <v>3068</v>
      </c>
      <c r="C168" s="775">
        <f>E135</f>
        <v>4200</v>
      </c>
    </row>
    <row r="169" spans="1:3" ht="12.75">
      <c r="A169" s="766"/>
      <c r="B169" s="733"/>
      <c r="C169" s="775"/>
    </row>
    <row r="170" spans="1:3" ht="12.75">
      <c r="A170" s="766">
        <v>7</v>
      </c>
      <c r="B170" s="733" t="s">
        <v>3069</v>
      </c>
      <c r="C170" s="775">
        <f>C151</f>
        <v>78320</v>
      </c>
    </row>
    <row r="171" spans="1:3" ht="12.75">
      <c r="A171" s="766"/>
      <c r="B171" s="733"/>
      <c r="C171" s="775"/>
    </row>
    <row r="172" spans="1:3" ht="13.5" thickBot="1">
      <c r="A172" s="777"/>
      <c r="B172" s="758" t="s">
        <v>3070</v>
      </c>
      <c r="C172" s="767">
        <f>SUM(C158:C171)</f>
        <v>956102.64</v>
      </c>
    </row>
    <row r="173" spans="1:3" ht="12.75">
      <c r="A173" s="778"/>
      <c r="B173" s="778"/>
      <c r="C173" s="779"/>
    </row>
    <row r="174" spans="1:9" ht="20.25">
      <c r="A174" s="1292" t="s">
        <v>901</v>
      </c>
      <c r="B174" s="1292"/>
      <c r="C174" s="1292"/>
      <c r="D174" s="1292"/>
      <c r="E174" s="1292"/>
      <c r="F174" s="1292"/>
      <c r="G174" s="1292"/>
      <c r="H174" s="1292"/>
      <c r="I174" s="1292"/>
    </row>
    <row r="175" spans="1:9" ht="8.25" customHeight="1">
      <c r="A175" s="717"/>
      <c r="B175" s="717"/>
      <c r="C175" s="724"/>
      <c r="I175" s="724"/>
    </row>
    <row r="176" spans="1:9" ht="18.75" thickBot="1">
      <c r="A176" s="1300" t="s">
        <v>902</v>
      </c>
      <c r="B176" s="1300"/>
      <c r="C176" s="1300"/>
      <c r="D176" s="1300"/>
      <c r="E176" s="1300"/>
      <c r="F176" s="1300"/>
      <c r="G176" s="1300"/>
      <c r="H176" s="1300"/>
      <c r="I176" s="1300"/>
    </row>
    <row r="177" spans="1:9" ht="39" thickBot="1">
      <c r="A177" s="725" t="s">
        <v>326</v>
      </c>
      <c r="B177" s="726" t="s">
        <v>533</v>
      </c>
      <c r="C177" s="727" t="s">
        <v>534</v>
      </c>
      <c r="D177" s="727" t="s">
        <v>2408</v>
      </c>
      <c r="E177" s="728" t="s">
        <v>535</v>
      </c>
      <c r="F177" s="728" t="s">
        <v>536</v>
      </c>
      <c r="G177" s="728" t="s">
        <v>537</v>
      </c>
      <c r="H177" s="728" t="s">
        <v>538</v>
      </c>
      <c r="I177" s="729" t="s">
        <v>539</v>
      </c>
    </row>
    <row r="178" spans="1:9" ht="10.5" customHeight="1">
      <c r="A178" s="730"/>
      <c r="B178" s="731"/>
      <c r="C178" s="732"/>
      <c r="D178" s="733"/>
      <c r="E178" s="733"/>
      <c r="F178" s="733"/>
      <c r="G178" s="733"/>
      <c r="H178" s="733"/>
      <c r="I178" s="734"/>
    </row>
    <row r="179" spans="1:9" s="438" customFormat="1" ht="10.5" customHeight="1">
      <c r="A179" s="874">
        <v>1</v>
      </c>
      <c r="B179" s="875" t="s">
        <v>903</v>
      </c>
      <c r="C179" s="876">
        <v>1</v>
      </c>
      <c r="D179" s="877">
        <v>0.33</v>
      </c>
      <c r="E179" s="877">
        <v>18000</v>
      </c>
      <c r="F179" s="877">
        <v>1.44</v>
      </c>
      <c r="G179" s="877">
        <f>C179*D179*E179*F179</f>
        <v>8553.6</v>
      </c>
      <c r="H179" s="877">
        <v>12</v>
      </c>
      <c r="I179" s="878">
        <f>G179*H179</f>
        <v>102643.20000000001</v>
      </c>
    </row>
    <row r="180" spans="1:9" s="438" customFormat="1" ht="10.5" customHeight="1">
      <c r="A180" s="874"/>
      <c r="B180" s="875"/>
      <c r="C180" s="876"/>
      <c r="D180" s="877"/>
      <c r="E180" s="877"/>
      <c r="F180" s="877"/>
      <c r="G180" s="877"/>
      <c r="H180" s="877"/>
      <c r="I180" s="878"/>
    </row>
    <row r="181" spans="1:9" s="438" customFormat="1" ht="10.5" customHeight="1">
      <c r="A181" s="874">
        <v>2</v>
      </c>
      <c r="B181" s="875" t="s">
        <v>904</v>
      </c>
      <c r="C181" s="876">
        <v>1</v>
      </c>
      <c r="D181" s="877">
        <v>0.33</v>
      </c>
      <c r="E181" s="877">
        <v>12000</v>
      </c>
      <c r="F181" s="877">
        <v>1.44</v>
      </c>
      <c r="G181" s="877">
        <f>C181*D181*E181*F181</f>
        <v>5702.4</v>
      </c>
      <c r="H181" s="877">
        <v>12</v>
      </c>
      <c r="I181" s="878">
        <f>G181*H181</f>
        <v>68428.79999999999</v>
      </c>
    </row>
    <row r="182" spans="1:9" s="438" customFormat="1" ht="10.5" customHeight="1">
      <c r="A182" s="874"/>
      <c r="B182" s="875"/>
      <c r="C182" s="876"/>
      <c r="D182" s="877"/>
      <c r="E182" s="877"/>
      <c r="F182" s="877"/>
      <c r="G182" s="877"/>
      <c r="H182" s="877"/>
      <c r="I182" s="878"/>
    </row>
    <row r="183" spans="1:9" s="438" customFormat="1" ht="10.5" customHeight="1">
      <c r="A183" s="874">
        <v>3</v>
      </c>
      <c r="B183" s="875" t="s">
        <v>905</v>
      </c>
      <c r="C183" s="876">
        <v>1</v>
      </c>
      <c r="D183" s="877">
        <v>0.33</v>
      </c>
      <c r="E183" s="877">
        <v>4150</v>
      </c>
      <c r="F183" s="877">
        <v>1.44</v>
      </c>
      <c r="G183" s="877">
        <f>C183*D183*E183*F183</f>
        <v>1972.08</v>
      </c>
      <c r="H183" s="877">
        <v>12</v>
      </c>
      <c r="I183" s="878">
        <f>G183*H183</f>
        <v>23664.96</v>
      </c>
    </row>
    <row r="184" spans="1:9" s="438" customFormat="1" ht="10.5" customHeight="1">
      <c r="A184" s="874"/>
      <c r="B184" s="875"/>
      <c r="C184" s="876"/>
      <c r="D184" s="877"/>
      <c r="E184" s="877"/>
      <c r="F184" s="877"/>
      <c r="G184" s="877"/>
      <c r="H184" s="877"/>
      <c r="I184" s="878"/>
    </row>
    <row r="185" spans="1:9" s="438" customFormat="1" ht="10.5" customHeight="1">
      <c r="A185" s="874">
        <v>4</v>
      </c>
      <c r="B185" s="875" t="s">
        <v>906</v>
      </c>
      <c r="C185" s="876">
        <v>1</v>
      </c>
      <c r="D185" s="877">
        <v>0.33</v>
      </c>
      <c r="E185" s="877">
        <v>4600</v>
      </c>
      <c r="F185" s="877">
        <v>1.44</v>
      </c>
      <c r="G185" s="877">
        <f>C185*D185*E185*F185</f>
        <v>2185.92</v>
      </c>
      <c r="H185" s="877">
        <v>12</v>
      </c>
      <c r="I185" s="878">
        <f>G185*H185</f>
        <v>26231.04</v>
      </c>
    </row>
    <row r="186" spans="1:9" s="438" customFormat="1" ht="10.5" customHeight="1">
      <c r="A186" s="874"/>
      <c r="B186" s="875"/>
      <c r="C186" s="876"/>
      <c r="D186" s="877"/>
      <c r="E186" s="877"/>
      <c r="F186" s="877"/>
      <c r="G186" s="877"/>
      <c r="H186" s="877"/>
      <c r="I186" s="878"/>
    </row>
    <row r="187" spans="1:9" s="438" customFormat="1" ht="10.5" customHeight="1">
      <c r="A187" s="874">
        <v>5</v>
      </c>
      <c r="B187" s="875" t="s">
        <v>907</v>
      </c>
      <c r="C187" s="876">
        <v>3</v>
      </c>
      <c r="D187" s="877">
        <v>0.33</v>
      </c>
      <c r="E187" s="877">
        <v>1500</v>
      </c>
      <c r="F187" s="877">
        <v>1.44</v>
      </c>
      <c r="G187" s="877">
        <f>C187*D187*E187*F187</f>
        <v>2138.4</v>
      </c>
      <c r="H187" s="877">
        <v>12</v>
      </c>
      <c r="I187" s="878">
        <f>G187*H187</f>
        <v>25660.800000000003</v>
      </c>
    </row>
    <row r="188" spans="1:9" s="438" customFormat="1" ht="10.5" customHeight="1">
      <c r="A188" s="874"/>
      <c r="B188" s="875"/>
      <c r="C188" s="876"/>
      <c r="D188" s="877"/>
      <c r="E188" s="877"/>
      <c r="F188" s="877"/>
      <c r="G188" s="877"/>
      <c r="H188" s="877"/>
      <c r="I188" s="878"/>
    </row>
    <row r="189" spans="1:9" s="438" customFormat="1" ht="10.5" customHeight="1">
      <c r="A189" s="874">
        <v>6</v>
      </c>
      <c r="B189" s="875" t="s">
        <v>541</v>
      </c>
      <c r="C189" s="876">
        <v>1</v>
      </c>
      <c r="D189" s="877">
        <v>0.33</v>
      </c>
      <c r="E189" s="877">
        <v>6000</v>
      </c>
      <c r="F189" s="877">
        <v>1.44</v>
      </c>
      <c r="G189" s="877">
        <f>C189*D189*E189*F189</f>
        <v>2851.2</v>
      </c>
      <c r="H189" s="877">
        <v>12</v>
      </c>
      <c r="I189" s="878">
        <f>G189*H189</f>
        <v>34214.399999999994</v>
      </c>
    </row>
    <row r="190" spans="1:9" s="438" customFormat="1" ht="10.5" customHeight="1">
      <c r="A190" s="874"/>
      <c r="B190" s="875"/>
      <c r="C190" s="876"/>
      <c r="D190" s="877"/>
      <c r="E190" s="877"/>
      <c r="F190" s="877"/>
      <c r="G190" s="877"/>
      <c r="H190" s="877"/>
      <c r="I190" s="878"/>
    </row>
    <row r="191" spans="1:9" s="438" customFormat="1" ht="10.5" customHeight="1">
      <c r="A191" s="874">
        <v>7</v>
      </c>
      <c r="B191" s="875" t="s">
        <v>908</v>
      </c>
      <c r="C191" s="876">
        <v>1</v>
      </c>
      <c r="D191" s="877">
        <v>0.33</v>
      </c>
      <c r="E191" s="877">
        <v>3500</v>
      </c>
      <c r="F191" s="877">
        <v>1.44</v>
      </c>
      <c r="G191" s="877">
        <f>C191*D191*E191*F191</f>
        <v>1663.2</v>
      </c>
      <c r="H191" s="877">
        <v>12</v>
      </c>
      <c r="I191" s="878">
        <f>G191*H191</f>
        <v>19958.4</v>
      </c>
    </row>
    <row r="192" spans="1:9" s="438" customFormat="1" ht="10.5" customHeight="1">
      <c r="A192" s="874"/>
      <c r="B192" s="875"/>
      <c r="C192" s="876"/>
      <c r="D192" s="877"/>
      <c r="E192" s="877"/>
      <c r="F192" s="877"/>
      <c r="G192" s="877"/>
      <c r="H192" s="877"/>
      <c r="I192" s="878"/>
    </row>
    <row r="193" spans="1:9" s="438" customFormat="1" ht="10.5" customHeight="1">
      <c r="A193" s="874">
        <v>8</v>
      </c>
      <c r="B193" s="875" t="s">
        <v>909</v>
      </c>
      <c r="C193" s="876">
        <v>2</v>
      </c>
      <c r="D193" s="877">
        <v>0.33</v>
      </c>
      <c r="E193" s="877">
        <v>3100</v>
      </c>
      <c r="F193" s="877">
        <v>1.44</v>
      </c>
      <c r="G193" s="877">
        <f>C193*D193*E193*F193</f>
        <v>2946.24</v>
      </c>
      <c r="H193" s="877">
        <v>12</v>
      </c>
      <c r="I193" s="878">
        <f>G193*H193</f>
        <v>35354.88</v>
      </c>
    </row>
    <row r="194" spans="1:9" ht="10.5" customHeight="1">
      <c r="A194" s="730"/>
      <c r="B194" s="731"/>
      <c r="C194" s="732"/>
      <c r="D194" s="733"/>
      <c r="E194" s="733"/>
      <c r="F194" s="733"/>
      <c r="G194" s="733"/>
      <c r="H194" s="733"/>
      <c r="I194" s="734"/>
    </row>
    <row r="195" spans="1:9" ht="10.5" customHeight="1">
      <c r="A195" s="730">
        <v>9</v>
      </c>
      <c r="B195" s="731" t="s">
        <v>910</v>
      </c>
      <c r="C195" s="732">
        <v>1</v>
      </c>
      <c r="D195" s="733">
        <v>0.33</v>
      </c>
      <c r="E195" s="733">
        <v>1000</v>
      </c>
      <c r="F195" s="733">
        <v>1.44</v>
      </c>
      <c r="G195" s="733">
        <f>C195*D195*E195*F195</f>
        <v>475.2</v>
      </c>
      <c r="H195" s="733">
        <v>12</v>
      </c>
      <c r="I195" s="734">
        <f>G195*H195</f>
        <v>5702.4</v>
      </c>
    </row>
    <row r="196" spans="1:9" ht="10.5" customHeight="1">
      <c r="A196" s="730"/>
      <c r="B196" s="731"/>
      <c r="C196" s="732"/>
      <c r="D196" s="733"/>
      <c r="E196" s="733"/>
      <c r="F196" s="733"/>
      <c r="G196" s="733"/>
      <c r="H196" s="733"/>
      <c r="I196" s="734"/>
    </row>
    <row r="197" spans="1:9" ht="10.5" customHeight="1">
      <c r="A197" s="730">
        <v>10</v>
      </c>
      <c r="B197" s="731" t="s">
        <v>911</v>
      </c>
      <c r="C197" s="732">
        <v>1</v>
      </c>
      <c r="D197" s="733">
        <v>0.33</v>
      </c>
      <c r="E197" s="733">
        <v>1500</v>
      </c>
      <c r="F197" s="733">
        <v>1.44</v>
      </c>
      <c r="G197" s="733">
        <f>C197*D197*E197*F197</f>
        <v>712.8</v>
      </c>
      <c r="H197" s="733">
        <v>12</v>
      </c>
      <c r="I197" s="734">
        <f>G197*H197</f>
        <v>8553.599999999999</v>
      </c>
    </row>
    <row r="198" spans="1:9" ht="10.5" customHeight="1">
      <c r="A198" s="730"/>
      <c r="B198" s="731"/>
      <c r="C198" s="732"/>
      <c r="D198" s="733"/>
      <c r="E198" s="733"/>
      <c r="F198" s="733"/>
      <c r="G198" s="733"/>
      <c r="H198" s="733"/>
      <c r="I198" s="734"/>
    </row>
    <row r="199" spans="1:9" ht="10.5" customHeight="1">
      <c r="A199" s="730">
        <v>11</v>
      </c>
      <c r="B199" s="731" t="s">
        <v>912</v>
      </c>
      <c r="C199" s="732">
        <v>2</v>
      </c>
      <c r="D199" s="733">
        <v>0.33</v>
      </c>
      <c r="E199" s="733">
        <v>1200</v>
      </c>
      <c r="F199" s="733">
        <v>1.44</v>
      </c>
      <c r="G199" s="733">
        <f>C199*D199*E199*F199</f>
        <v>1140.48</v>
      </c>
      <c r="H199" s="733">
        <v>12</v>
      </c>
      <c r="I199" s="734">
        <f>G199*H199</f>
        <v>13685.76</v>
      </c>
    </row>
    <row r="200" spans="1:9" ht="10.5" customHeight="1">
      <c r="A200" s="730"/>
      <c r="B200" s="731"/>
      <c r="C200" s="732"/>
      <c r="D200" s="733"/>
      <c r="E200" s="733"/>
      <c r="F200" s="733"/>
      <c r="G200" s="733"/>
      <c r="H200" s="733"/>
      <c r="I200" s="734"/>
    </row>
    <row r="201" spans="1:9" ht="10.5" customHeight="1">
      <c r="A201" s="730">
        <v>12</v>
      </c>
      <c r="B201" s="731" t="s">
        <v>913</v>
      </c>
      <c r="C201" s="732">
        <v>2</v>
      </c>
      <c r="D201" s="733">
        <v>0.33</v>
      </c>
      <c r="E201" s="733">
        <v>800</v>
      </c>
      <c r="F201" s="733">
        <v>1.44</v>
      </c>
      <c r="G201" s="733">
        <f>C201*D201*E201*F201</f>
        <v>760.3199999999999</v>
      </c>
      <c r="H201" s="733">
        <v>12</v>
      </c>
      <c r="I201" s="734">
        <f>G201*H201</f>
        <v>9123.84</v>
      </c>
    </row>
    <row r="202" spans="1:9" ht="10.5" customHeight="1">
      <c r="A202" s="730"/>
      <c r="B202" s="731"/>
      <c r="C202" s="732"/>
      <c r="D202" s="733"/>
      <c r="E202" s="733"/>
      <c r="F202" s="733"/>
      <c r="G202" s="733"/>
      <c r="H202" s="733"/>
      <c r="I202" s="734"/>
    </row>
    <row r="203" spans="1:9" ht="10.5" customHeight="1">
      <c r="A203" s="730">
        <v>13</v>
      </c>
      <c r="B203" s="731" t="s">
        <v>914</v>
      </c>
      <c r="C203" s="732">
        <v>6</v>
      </c>
      <c r="D203" s="733">
        <v>0.33</v>
      </c>
      <c r="E203" s="733">
        <v>350</v>
      </c>
      <c r="F203" s="733">
        <v>1.44</v>
      </c>
      <c r="G203" s="733">
        <f>C203*D203*E203*F203</f>
        <v>997.92</v>
      </c>
      <c r="H203" s="733">
        <v>12</v>
      </c>
      <c r="I203" s="734">
        <f>G203*H203</f>
        <v>11975.039999999999</v>
      </c>
    </row>
    <row r="204" spans="1:9" ht="10.5" customHeight="1">
      <c r="A204" s="730"/>
      <c r="B204" s="731"/>
      <c r="C204" s="732"/>
      <c r="D204" s="733"/>
      <c r="E204" s="733"/>
      <c r="F204" s="733"/>
      <c r="G204" s="733"/>
      <c r="H204" s="733"/>
      <c r="I204" s="734"/>
    </row>
    <row r="205" spans="1:9" ht="10.5" customHeight="1">
      <c r="A205" s="730">
        <v>14</v>
      </c>
      <c r="B205" s="731" t="s">
        <v>3039</v>
      </c>
      <c r="C205" s="732">
        <v>1</v>
      </c>
      <c r="D205" s="733">
        <v>0.33</v>
      </c>
      <c r="E205" s="733">
        <v>10000</v>
      </c>
      <c r="F205" s="733">
        <v>1</v>
      </c>
      <c r="G205" s="733">
        <f>C205*D205*E205*F205</f>
        <v>3300</v>
      </c>
      <c r="H205" s="733">
        <v>12</v>
      </c>
      <c r="I205" s="734">
        <f>H205*G205</f>
        <v>39600</v>
      </c>
    </row>
    <row r="206" spans="1:9" ht="10.5" customHeight="1">
      <c r="A206" s="730"/>
      <c r="B206" s="731"/>
      <c r="C206" s="732"/>
      <c r="D206" s="733"/>
      <c r="E206" s="733"/>
      <c r="F206" s="733"/>
      <c r="G206" s="733"/>
      <c r="H206" s="733"/>
      <c r="I206" s="734"/>
    </row>
    <row r="207" spans="1:9" ht="10.5" customHeight="1">
      <c r="A207" s="730">
        <v>15</v>
      </c>
      <c r="B207" s="731" t="s">
        <v>3040</v>
      </c>
      <c r="C207" s="732">
        <v>1</v>
      </c>
      <c r="D207" s="733">
        <v>0.33</v>
      </c>
      <c r="E207" s="733">
        <v>3000</v>
      </c>
      <c r="F207" s="733">
        <v>1</v>
      </c>
      <c r="G207" s="733">
        <f>C207*D207*E207*F207</f>
        <v>990</v>
      </c>
      <c r="H207" s="733">
        <v>12</v>
      </c>
      <c r="I207" s="734">
        <f>H207*G207</f>
        <v>11880</v>
      </c>
    </row>
    <row r="208" spans="1:9" ht="10.5" customHeight="1">
      <c r="A208" s="730"/>
      <c r="B208" s="731"/>
      <c r="C208" s="732"/>
      <c r="D208" s="733"/>
      <c r="E208" s="733"/>
      <c r="F208" s="733"/>
      <c r="G208" s="733"/>
      <c r="H208" s="733"/>
      <c r="I208" s="734"/>
    </row>
    <row r="209" spans="1:9" ht="18.75" customHeight="1" thickBot="1">
      <c r="A209" s="735"/>
      <c r="B209" s="736" t="s">
        <v>517</v>
      </c>
      <c r="C209" s="737"/>
      <c r="D209" s="738"/>
      <c r="E209" s="738"/>
      <c r="F209" s="738"/>
      <c r="G209" s="738"/>
      <c r="H209" s="738"/>
      <c r="I209" s="739">
        <f>SUM(I179:I207)</f>
        <v>436677.12</v>
      </c>
    </row>
    <row r="210" spans="1:3" ht="12.75">
      <c r="A210" s="778"/>
      <c r="B210" s="778"/>
      <c r="C210" s="779"/>
    </row>
    <row r="211" spans="1:9" ht="18">
      <c r="A211" s="1293" t="s">
        <v>919</v>
      </c>
      <c r="B211" s="1293"/>
      <c r="C211" s="1293"/>
      <c r="D211" s="1293"/>
      <c r="E211" s="1293"/>
      <c r="F211" s="1293"/>
      <c r="G211" s="1293"/>
      <c r="H211" s="1293"/>
      <c r="I211" s="744"/>
    </row>
    <row r="212" ht="13.5" thickBot="1"/>
    <row r="213" spans="1:9" ht="26.25" thickBot="1">
      <c r="A213" s="725" t="s">
        <v>326</v>
      </c>
      <c r="B213" s="726" t="s">
        <v>555</v>
      </c>
      <c r="C213" s="727" t="s">
        <v>534</v>
      </c>
      <c r="D213" s="727" t="s">
        <v>2408</v>
      </c>
      <c r="E213" s="728" t="s">
        <v>556</v>
      </c>
      <c r="F213" s="728" t="s">
        <v>537</v>
      </c>
      <c r="G213" s="728" t="s">
        <v>557</v>
      </c>
      <c r="H213" s="729" t="s">
        <v>558</v>
      </c>
      <c r="I213" s="745"/>
    </row>
    <row r="214" spans="1:8" ht="12.75">
      <c r="A214" s="746"/>
      <c r="B214" s="747"/>
      <c r="C214" s="748"/>
      <c r="D214" s="749"/>
      <c r="E214" s="749"/>
      <c r="F214" s="749"/>
      <c r="G214" s="749"/>
      <c r="H214" s="750"/>
    </row>
    <row r="215" spans="1:8" ht="12.75">
      <c r="A215" s="730">
        <v>1</v>
      </c>
      <c r="B215" s="731" t="s">
        <v>918</v>
      </c>
      <c r="C215" s="732">
        <v>4</v>
      </c>
      <c r="D215" s="733">
        <v>0.33</v>
      </c>
      <c r="E215" s="733">
        <v>4500</v>
      </c>
      <c r="F215" s="733">
        <f>C215*D215*E215</f>
        <v>5940</v>
      </c>
      <c r="G215" s="733">
        <v>12</v>
      </c>
      <c r="H215" s="734">
        <f>F215*G215</f>
        <v>71280</v>
      </c>
    </row>
    <row r="216" spans="1:8" ht="12.75">
      <c r="A216" s="730"/>
      <c r="B216" s="731"/>
      <c r="C216" s="732"/>
      <c r="D216" s="733"/>
      <c r="E216" s="733"/>
      <c r="F216" s="733"/>
      <c r="G216" s="733"/>
      <c r="H216" s="734"/>
    </row>
    <row r="217" spans="1:8" ht="12.75">
      <c r="A217" s="730">
        <v>2</v>
      </c>
      <c r="B217" s="731" t="s">
        <v>560</v>
      </c>
      <c r="C217" s="732">
        <v>2</v>
      </c>
      <c r="D217" s="733">
        <v>0.33</v>
      </c>
      <c r="E217" s="733">
        <v>8500</v>
      </c>
      <c r="F217" s="733">
        <f>C217*D217*E217</f>
        <v>5610</v>
      </c>
      <c r="G217" s="733">
        <v>12</v>
      </c>
      <c r="H217" s="734">
        <f>F217*G217</f>
        <v>67320</v>
      </c>
    </row>
    <row r="218" spans="1:8" ht="12.75">
      <c r="A218" s="730"/>
      <c r="B218" s="731"/>
      <c r="C218" s="732"/>
      <c r="D218" s="733"/>
      <c r="E218" s="733"/>
      <c r="F218" s="733"/>
      <c r="G218" s="733"/>
      <c r="H218" s="734"/>
    </row>
    <row r="219" spans="1:8" ht="16.5" thickBot="1">
      <c r="A219" s="735"/>
      <c r="B219" s="743" t="s">
        <v>517</v>
      </c>
      <c r="C219" s="737"/>
      <c r="D219" s="738"/>
      <c r="E219" s="738"/>
      <c r="F219" s="738"/>
      <c r="G219" s="738"/>
      <c r="H219" s="739">
        <f>SUM(H215:H218)</f>
        <v>138600</v>
      </c>
    </row>
    <row r="220" spans="1:8" ht="12.75">
      <c r="A220" s="645"/>
      <c r="B220" s="751"/>
      <c r="C220" s="752"/>
      <c r="D220" s="753"/>
      <c r="E220" s="753"/>
      <c r="F220" s="753"/>
      <c r="G220" s="753"/>
      <c r="H220" s="753"/>
    </row>
    <row r="221" spans="1:8" ht="18">
      <c r="A221" s="1293" t="s">
        <v>915</v>
      </c>
      <c r="B221" s="1293"/>
      <c r="C221" s="1293"/>
      <c r="D221" s="1293"/>
      <c r="E221" s="1293"/>
      <c r="F221" s="1293"/>
      <c r="G221" s="1293"/>
      <c r="H221" s="755"/>
    </row>
    <row r="222" ht="13.5" thickBot="1"/>
    <row r="223" spans="1:10" ht="39" thickBot="1">
      <c r="A223" s="725" t="s">
        <v>2556</v>
      </c>
      <c r="B223" s="726" t="s">
        <v>2479</v>
      </c>
      <c r="C223" s="727" t="s">
        <v>2556</v>
      </c>
      <c r="D223" s="727" t="s">
        <v>2408</v>
      </c>
      <c r="E223" s="728" t="s">
        <v>2949</v>
      </c>
      <c r="F223" s="728" t="s">
        <v>557</v>
      </c>
      <c r="G223" s="729" t="s">
        <v>558</v>
      </c>
      <c r="H223" s="780"/>
      <c r="I223" s="753"/>
      <c r="J223" s="409"/>
    </row>
    <row r="224" spans="1:10" ht="12.75">
      <c r="A224" s="746"/>
      <c r="B224" s="747"/>
      <c r="C224" s="748"/>
      <c r="D224" s="748"/>
      <c r="E224" s="749"/>
      <c r="F224" s="749"/>
      <c r="G224" s="750"/>
      <c r="H224" s="780"/>
      <c r="I224" s="753"/>
      <c r="J224" s="409"/>
    </row>
    <row r="225" spans="1:10" ht="12.75">
      <c r="A225" s="730">
        <v>1</v>
      </c>
      <c r="B225" s="731" t="s">
        <v>2950</v>
      </c>
      <c r="C225" s="732">
        <v>5</v>
      </c>
      <c r="D225" s="733">
        <v>0.33</v>
      </c>
      <c r="E225" s="733">
        <v>300</v>
      </c>
      <c r="F225" s="733">
        <v>12</v>
      </c>
      <c r="G225" s="734">
        <f>C225*D225*E225*F225</f>
        <v>5940.000000000001</v>
      </c>
      <c r="H225" s="780"/>
      <c r="I225" s="753"/>
      <c r="J225" s="409"/>
    </row>
    <row r="226" spans="1:10" ht="12.75">
      <c r="A226" s="730"/>
      <c r="B226" s="731"/>
      <c r="C226" s="732"/>
      <c r="D226" s="732"/>
      <c r="E226" s="733"/>
      <c r="F226" s="733"/>
      <c r="G226" s="734"/>
      <c r="H226" s="780"/>
      <c r="I226" s="753"/>
      <c r="J226" s="409"/>
    </row>
    <row r="227" spans="1:10" ht="12.75">
      <c r="A227" s="730">
        <v>2</v>
      </c>
      <c r="B227" s="731" t="s">
        <v>2951</v>
      </c>
      <c r="C227" s="732">
        <v>17</v>
      </c>
      <c r="D227" s="733">
        <v>0.33</v>
      </c>
      <c r="E227" s="733">
        <v>10</v>
      </c>
      <c r="F227" s="733">
        <v>12</v>
      </c>
      <c r="G227" s="734">
        <f>C227*D227*E227*F227</f>
        <v>673.2</v>
      </c>
      <c r="H227" s="780"/>
      <c r="I227" s="753"/>
      <c r="J227" s="409"/>
    </row>
    <row r="228" spans="1:10" ht="12.75">
      <c r="A228" s="730"/>
      <c r="B228" s="731"/>
      <c r="C228" s="732"/>
      <c r="D228" s="732"/>
      <c r="E228" s="733"/>
      <c r="F228" s="733"/>
      <c r="G228" s="734"/>
      <c r="H228" s="780"/>
      <c r="I228" s="753"/>
      <c r="J228" s="409"/>
    </row>
    <row r="229" spans="1:10" ht="12.75">
      <c r="A229" s="730">
        <v>3</v>
      </c>
      <c r="B229" s="731" t="s">
        <v>2952</v>
      </c>
      <c r="C229" s="732">
        <v>10</v>
      </c>
      <c r="D229" s="733">
        <v>0.33</v>
      </c>
      <c r="E229" s="733">
        <v>5</v>
      </c>
      <c r="F229" s="733">
        <v>12</v>
      </c>
      <c r="G229" s="734">
        <f>C229*D229*E229*F229</f>
        <v>198</v>
      </c>
      <c r="H229" s="780"/>
      <c r="I229" s="753"/>
      <c r="J229" s="409"/>
    </row>
    <row r="230" spans="1:10" ht="12.75">
      <c r="A230" s="730"/>
      <c r="B230" s="731"/>
      <c r="C230" s="732"/>
      <c r="D230" s="732"/>
      <c r="E230" s="733"/>
      <c r="F230" s="733"/>
      <c r="G230" s="734"/>
      <c r="H230" s="780"/>
      <c r="I230" s="753"/>
      <c r="J230" s="409"/>
    </row>
    <row r="231" spans="1:10" ht="12.75">
      <c r="A231" s="730">
        <v>4</v>
      </c>
      <c r="B231" s="731" t="s">
        <v>2953</v>
      </c>
      <c r="C231" s="732">
        <v>17</v>
      </c>
      <c r="D231" s="733">
        <v>0.33</v>
      </c>
      <c r="E231" s="733">
        <v>10</v>
      </c>
      <c r="F231" s="733">
        <v>12</v>
      </c>
      <c r="G231" s="734">
        <f>C231*D231*E231*F231</f>
        <v>673.2</v>
      </c>
      <c r="H231" s="780"/>
      <c r="I231" s="753"/>
      <c r="J231" s="409"/>
    </row>
    <row r="232" spans="1:10" ht="12.75">
      <c r="A232" s="730"/>
      <c r="B232" s="731"/>
      <c r="C232" s="732"/>
      <c r="D232" s="732"/>
      <c r="E232" s="733"/>
      <c r="F232" s="733"/>
      <c r="G232" s="734"/>
      <c r="H232" s="780"/>
      <c r="I232" s="753"/>
      <c r="J232" s="409"/>
    </row>
    <row r="233" spans="1:10" ht="12.75">
      <c r="A233" s="730">
        <v>6</v>
      </c>
      <c r="B233" s="731" t="s">
        <v>2954</v>
      </c>
      <c r="C233" s="732">
        <v>1</v>
      </c>
      <c r="D233" s="733">
        <v>0.33</v>
      </c>
      <c r="E233" s="733">
        <v>10</v>
      </c>
      <c r="F233" s="733">
        <v>12</v>
      </c>
      <c r="G233" s="734">
        <f>C233*D233*E233*F233</f>
        <v>39.6</v>
      </c>
      <c r="H233" s="780"/>
      <c r="I233" s="753"/>
      <c r="J233" s="409"/>
    </row>
    <row r="234" spans="1:10" ht="12.75">
      <c r="A234" s="730"/>
      <c r="B234" s="731"/>
      <c r="C234" s="732"/>
      <c r="D234" s="732"/>
      <c r="E234" s="733"/>
      <c r="F234" s="733"/>
      <c r="G234" s="734"/>
      <c r="H234" s="780"/>
      <c r="I234" s="753"/>
      <c r="J234" s="409"/>
    </row>
    <row r="235" spans="1:10" ht="12.75">
      <c r="A235" s="730">
        <v>7</v>
      </c>
      <c r="B235" s="731" t="s">
        <v>2955</v>
      </c>
      <c r="C235" s="732">
        <v>17</v>
      </c>
      <c r="D235" s="733">
        <v>0.33</v>
      </c>
      <c r="E235" s="733">
        <v>2</v>
      </c>
      <c r="F235" s="733">
        <v>12</v>
      </c>
      <c r="G235" s="734">
        <f>C235*D235*E235*F235</f>
        <v>134.64000000000001</v>
      </c>
      <c r="H235" s="780"/>
      <c r="I235" s="753"/>
      <c r="J235" s="409"/>
    </row>
    <row r="236" spans="1:10" ht="12.75">
      <c r="A236" s="730"/>
      <c r="B236" s="731"/>
      <c r="C236" s="732"/>
      <c r="D236" s="732"/>
      <c r="E236" s="733"/>
      <c r="F236" s="733"/>
      <c r="G236" s="734"/>
      <c r="H236" s="780"/>
      <c r="I236" s="753"/>
      <c r="J236" s="409"/>
    </row>
    <row r="237" spans="1:10" ht="12.75">
      <c r="A237" s="730">
        <v>8</v>
      </c>
      <c r="B237" s="731" t="s">
        <v>3028</v>
      </c>
      <c r="C237" s="732">
        <v>10</v>
      </c>
      <c r="D237" s="733">
        <v>0.33</v>
      </c>
      <c r="E237" s="733">
        <v>5</v>
      </c>
      <c r="F237" s="733">
        <v>12</v>
      </c>
      <c r="G237" s="734">
        <f>C237*D237*E237*F237</f>
        <v>198</v>
      </c>
      <c r="H237" s="780"/>
      <c r="I237" s="753"/>
      <c r="J237" s="409"/>
    </row>
    <row r="238" spans="1:10" ht="12.75">
      <c r="A238" s="730"/>
      <c r="B238" s="731"/>
      <c r="C238" s="732"/>
      <c r="D238" s="732"/>
      <c r="E238" s="733"/>
      <c r="F238" s="733"/>
      <c r="G238" s="734"/>
      <c r="H238" s="780"/>
      <c r="I238" s="753"/>
      <c r="J238" s="409"/>
    </row>
    <row r="239" spans="1:10" ht="12.75">
      <c r="A239" s="730">
        <v>9</v>
      </c>
      <c r="B239" s="731" t="s">
        <v>3029</v>
      </c>
      <c r="C239" s="732" t="s">
        <v>3030</v>
      </c>
      <c r="D239" s="733">
        <v>0.33</v>
      </c>
      <c r="E239" s="733">
        <v>1500</v>
      </c>
      <c r="F239" s="733">
        <v>12</v>
      </c>
      <c r="G239" s="734">
        <f>D239*E239*F239</f>
        <v>5940</v>
      </c>
      <c r="H239" s="780"/>
      <c r="I239" s="753"/>
      <c r="J239" s="409"/>
    </row>
    <row r="240" spans="1:10" ht="12.75">
      <c r="A240" s="730"/>
      <c r="B240" s="731"/>
      <c r="C240" s="732"/>
      <c r="D240" s="732"/>
      <c r="E240" s="733"/>
      <c r="F240" s="733"/>
      <c r="G240" s="734"/>
      <c r="H240" s="780"/>
      <c r="I240" s="753"/>
      <c r="J240" s="409"/>
    </row>
    <row r="241" spans="1:10" ht="12.75">
      <c r="A241" s="730">
        <v>10</v>
      </c>
      <c r="B241" s="731" t="s">
        <v>3031</v>
      </c>
      <c r="C241" s="732" t="s">
        <v>3030</v>
      </c>
      <c r="D241" s="733">
        <v>0.33</v>
      </c>
      <c r="E241" s="733">
        <v>5000</v>
      </c>
      <c r="F241" s="733">
        <v>12</v>
      </c>
      <c r="G241" s="734">
        <f>D241*E241*F241</f>
        <v>19800</v>
      </c>
      <c r="H241" s="780"/>
      <c r="I241" s="753"/>
      <c r="J241" s="409"/>
    </row>
    <row r="242" spans="1:10" ht="12.75">
      <c r="A242" s="730"/>
      <c r="B242" s="731"/>
      <c r="C242" s="732"/>
      <c r="D242" s="732"/>
      <c r="E242" s="733"/>
      <c r="F242" s="733"/>
      <c r="G242" s="734"/>
      <c r="H242" s="780"/>
      <c r="I242" s="753"/>
      <c r="J242" s="409"/>
    </row>
    <row r="243" spans="1:10" ht="12.75">
      <c r="A243" s="730">
        <v>11</v>
      </c>
      <c r="B243" s="731" t="s">
        <v>3032</v>
      </c>
      <c r="C243" s="732" t="s">
        <v>3030</v>
      </c>
      <c r="D243" s="733">
        <v>0.33</v>
      </c>
      <c r="E243" s="733">
        <v>1500</v>
      </c>
      <c r="F243" s="733">
        <v>12</v>
      </c>
      <c r="G243" s="734">
        <f>D243*E243*F243</f>
        <v>5940</v>
      </c>
      <c r="H243" s="780"/>
      <c r="I243" s="753"/>
      <c r="J243" s="409"/>
    </row>
    <row r="244" spans="1:10" ht="12.75">
      <c r="A244" s="730"/>
      <c r="B244" s="731"/>
      <c r="C244" s="732"/>
      <c r="D244" s="733"/>
      <c r="E244" s="733"/>
      <c r="F244" s="733"/>
      <c r="G244" s="734"/>
      <c r="H244" s="780"/>
      <c r="I244" s="753"/>
      <c r="J244" s="409"/>
    </row>
    <row r="245" spans="1:9" ht="12.75">
      <c r="A245" s="730">
        <v>16</v>
      </c>
      <c r="B245" s="731" t="s">
        <v>2753</v>
      </c>
      <c r="C245" s="732" t="s">
        <v>3030</v>
      </c>
      <c r="D245" s="733">
        <v>0.33</v>
      </c>
      <c r="E245" s="733">
        <v>2000</v>
      </c>
      <c r="F245" s="733">
        <v>12</v>
      </c>
      <c r="G245" s="781">
        <f>D245*E245*F245</f>
        <v>7920</v>
      </c>
      <c r="H245" s="782"/>
      <c r="I245" s="783"/>
    </row>
    <row r="246" spans="1:9" ht="12.75">
      <c r="A246" s="730"/>
      <c r="B246" s="731"/>
      <c r="C246" s="732"/>
      <c r="D246" s="733"/>
      <c r="E246" s="733"/>
      <c r="F246" s="733"/>
      <c r="G246" s="781"/>
      <c r="H246" s="782"/>
      <c r="I246" s="783"/>
    </row>
    <row r="247" spans="1:9" ht="25.5">
      <c r="A247" s="784">
        <v>17</v>
      </c>
      <c r="B247" s="785" t="s">
        <v>921</v>
      </c>
      <c r="C247" s="732">
        <v>10</v>
      </c>
      <c r="D247" s="733">
        <v>0.33</v>
      </c>
      <c r="E247" s="733">
        <v>200</v>
      </c>
      <c r="F247" s="733">
        <v>12</v>
      </c>
      <c r="G247" s="781">
        <f>C247*D247*E247*F247</f>
        <v>7920</v>
      </c>
      <c r="H247" s="782"/>
      <c r="I247" s="783"/>
    </row>
    <row r="248" spans="1:10" ht="12.75">
      <c r="A248" s="730"/>
      <c r="B248" s="731"/>
      <c r="C248" s="732"/>
      <c r="D248" s="733"/>
      <c r="E248" s="733"/>
      <c r="F248" s="733"/>
      <c r="G248" s="734"/>
      <c r="H248" s="780"/>
      <c r="I248" s="753"/>
      <c r="J248" s="409"/>
    </row>
    <row r="249" spans="1:10" ht="12.75">
      <c r="A249" s="730"/>
      <c r="B249" s="731"/>
      <c r="C249" s="732"/>
      <c r="D249" s="732"/>
      <c r="E249" s="733"/>
      <c r="F249" s="733"/>
      <c r="G249" s="734"/>
      <c r="H249" s="780"/>
      <c r="I249" s="753"/>
      <c r="J249" s="409"/>
    </row>
    <row r="250" spans="1:10" ht="16.5" thickBot="1">
      <c r="A250" s="735"/>
      <c r="B250" s="743" t="s">
        <v>517</v>
      </c>
      <c r="C250" s="737"/>
      <c r="D250" s="737"/>
      <c r="E250" s="738"/>
      <c r="F250" s="738"/>
      <c r="G250" s="739">
        <f>SUM(G224:G249)</f>
        <v>55376.64</v>
      </c>
      <c r="H250" s="780"/>
      <c r="I250" s="753"/>
      <c r="J250" s="409"/>
    </row>
    <row r="251" spans="1:3" ht="12.75">
      <c r="A251" s="778"/>
      <c r="B251" s="778"/>
      <c r="C251" s="779"/>
    </row>
    <row r="252" spans="1:5" ht="12.75">
      <c r="A252" s="1296" t="s">
        <v>916</v>
      </c>
      <c r="B252" s="1296"/>
      <c r="C252" s="1296"/>
      <c r="D252" s="1296"/>
      <c r="E252" s="1296"/>
    </row>
    <row r="253" spans="1:3" ht="13.5" thickBot="1">
      <c r="A253" s="778"/>
      <c r="B253" s="778"/>
      <c r="C253" s="779"/>
    </row>
    <row r="254" spans="1:9" ht="13.5" thickBot="1">
      <c r="A254" s="725" t="s">
        <v>2556</v>
      </c>
      <c r="B254" s="786" t="s">
        <v>1609</v>
      </c>
      <c r="C254" s="761" t="s">
        <v>3056</v>
      </c>
      <c r="D254" s="787"/>
      <c r="E254" s="787"/>
      <c r="F254" s="787"/>
      <c r="G254" s="787"/>
      <c r="H254" s="787"/>
      <c r="I254" s="787"/>
    </row>
    <row r="255" spans="1:9" ht="12.75">
      <c r="A255" s="788"/>
      <c r="B255" s="789"/>
      <c r="C255" s="790"/>
      <c r="D255" s="787"/>
      <c r="E255" s="787"/>
      <c r="F255" s="787"/>
      <c r="G255" s="787"/>
      <c r="H255" s="787"/>
      <c r="I255" s="787"/>
    </row>
    <row r="256" spans="1:9" ht="12.75">
      <c r="A256" s="791">
        <v>1</v>
      </c>
      <c r="B256" s="792" t="s">
        <v>917</v>
      </c>
      <c r="C256" s="775">
        <f>I209</f>
        <v>436677.12</v>
      </c>
      <c r="D256" s="787"/>
      <c r="E256" s="787"/>
      <c r="F256" s="787"/>
      <c r="G256" s="787"/>
      <c r="H256" s="787"/>
      <c r="I256" s="787"/>
    </row>
    <row r="257" spans="1:9" ht="12.75">
      <c r="A257" s="791"/>
      <c r="B257" s="792"/>
      <c r="C257" s="775"/>
      <c r="D257" s="787"/>
      <c r="E257" s="787"/>
      <c r="F257" s="787"/>
      <c r="G257" s="787"/>
      <c r="H257" s="787"/>
      <c r="I257" s="787"/>
    </row>
    <row r="258" spans="1:9" ht="12.75">
      <c r="A258" s="791">
        <v>2</v>
      </c>
      <c r="B258" s="792" t="s">
        <v>920</v>
      </c>
      <c r="C258" s="775">
        <f>H219</f>
        <v>138600</v>
      </c>
      <c r="D258" s="787"/>
      <c r="E258" s="787"/>
      <c r="F258" s="787"/>
      <c r="G258" s="787"/>
      <c r="H258" s="787"/>
      <c r="I258" s="787"/>
    </row>
    <row r="259" spans="1:9" ht="12.75">
      <c r="A259" s="791"/>
      <c r="B259" s="792"/>
      <c r="C259" s="775"/>
      <c r="D259" s="787"/>
      <c r="E259" s="787"/>
      <c r="F259" s="787"/>
      <c r="G259" s="787"/>
      <c r="H259" s="787"/>
      <c r="I259" s="787"/>
    </row>
    <row r="260" spans="1:9" ht="12.75">
      <c r="A260" s="791">
        <v>3</v>
      </c>
      <c r="B260" s="792" t="s">
        <v>1610</v>
      </c>
      <c r="C260" s="775">
        <f>G250</f>
        <v>55376.64</v>
      </c>
      <c r="D260" s="787"/>
      <c r="E260" s="787"/>
      <c r="F260" s="787"/>
      <c r="G260" s="787"/>
      <c r="H260" s="787"/>
      <c r="I260" s="787"/>
    </row>
    <row r="261" spans="1:9" ht="12.75">
      <c r="A261" s="791"/>
      <c r="B261" s="792"/>
      <c r="C261" s="775"/>
      <c r="D261" s="787"/>
      <c r="E261" s="787"/>
      <c r="F261" s="787"/>
      <c r="G261" s="787"/>
      <c r="H261" s="787"/>
      <c r="I261" s="787"/>
    </row>
    <row r="262" spans="1:9" ht="13.5" thickBot="1">
      <c r="A262" s="793"/>
      <c r="B262" s="794" t="s">
        <v>2529</v>
      </c>
      <c r="C262" s="795">
        <f>SUM(C255:C261)</f>
        <v>630653.76</v>
      </c>
      <c r="D262" s="787"/>
      <c r="E262" s="787"/>
      <c r="F262" s="787"/>
      <c r="G262" s="787"/>
      <c r="H262" s="787"/>
      <c r="I262" s="787"/>
    </row>
    <row r="263" spans="1:9" ht="12.75">
      <c r="A263" s="796"/>
      <c r="B263" s="796"/>
      <c r="C263" s="797"/>
      <c r="D263" s="787"/>
      <c r="E263" s="787"/>
      <c r="F263" s="787"/>
      <c r="G263" s="787"/>
      <c r="H263" s="787"/>
      <c r="I263" s="787"/>
    </row>
    <row r="264" spans="1:3" ht="12.75">
      <c r="A264" s="561"/>
      <c r="B264" s="561"/>
      <c r="C264" s="768"/>
    </row>
    <row r="265" spans="1:3" ht="12.75">
      <c r="A265" s="798"/>
      <c r="B265" s="798" t="s">
        <v>3071</v>
      </c>
      <c r="C265" s="799">
        <v>8000000</v>
      </c>
    </row>
    <row r="266" ht="13.5" thickBot="1"/>
    <row r="267" spans="1:3" ht="13.5" thickBot="1">
      <c r="A267" s="725" t="s">
        <v>2556</v>
      </c>
      <c r="B267" s="786" t="s">
        <v>1607</v>
      </c>
      <c r="C267" s="761" t="s">
        <v>3072</v>
      </c>
    </row>
    <row r="268" spans="1:3" ht="12.75">
      <c r="A268" s="800">
        <v>1</v>
      </c>
      <c r="B268" s="801" t="s">
        <v>1608</v>
      </c>
      <c r="C268" s="802">
        <f>C172/C265*100</f>
        <v>11.951283</v>
      </c>
    </row>
    <row r="269" spans="1:3" ht="12.75">
      <c r="A269" s="784"/>
      <c r="B269" s="731"/>
      <c r="C269" s="762"/>
    </row>
    <row r="270" spans="1:3" ht="12.75">
      <c r="A270" s="784">
        <v>2</v>
      </c>
      <c r="B270" s="785" t="s">
        <v>3073</v>
      </c>
      <c r="C270" s="762">
        <f>C262/C265*100</f>
        <v>7.883172000000001</v>
      </c>
    </row>
    <row r="271" spans="1:3" ht="12.75">
      <c r="A271" s="784"/>
      <c r="B271" s="731"/>
      <c r="C271" s="762"/>
    </row>
    <row r="272" spans="1:3" ht="12.75">
      <c r="A272" s="784">
        <v>3</v>
      </c>
      <c r="B272" s="731" t="s">
        <v>1605</v>
      </c>
      <c r="C272" s="762">
        <v>7</v>
      </c>
    </row>
    <row r="273" spans="1:3" ht="12.75">
      <c r="A273" s="784"/>
      <c r="B273" s="731"/>
      <c r="C273" s="762"/>
    </row>
    <row r="274" spans="1:3" ht="12.75">
      <c r="A274" s="784">
        <v>4</v>
      </c>
      <c r="B274" s="731" t="s">
        <v>1606</v>
      </c>
      <c r="C274" s="762">
        <v>8</v>
      </c>
    </row>
    <row r="275" spans="1:3" ht="13.5" thickBot="1">
      <c r="A275" s="784"/>
      <c r="B275" s="731"/>
      <c r="C275" s="762"/>
    </row>
    <row r="276" spans="1:3" ht="26.25" thickBot="1">
      <c r="A276" s="803"/>
      <c r="B276" s="804" t="s">
        <v>1996</v>
      </c>
      <c r="C276" s="805">
        <f>SUM(C268:C275)</f>
        <v>34.834455000000005</v>
      </c>
    </row>
  </sheetData>
  <sheetProtection/>
  <mergeCells count="16">
    <mergeCell ref="A7:G7"/>
    <mergeCell ref="A252:E252"/>
    <mergeCell ref="H4:I4"/>
    <mergeCell ref="A155:C155"/>
    <mergeCell ref="A5:I5"/>
    <mergeCell ref="A24:I24"/>
    <mergeCell ref="A137:C137"/>
    <mergeCell ref="A176:I176"/>
    <mergeCell ref="A211:H211"/>
    <mergeCell ref="A221:G221"/>
    <mergeCell ref="A154:C154"/>
    <mergeCell ref="A174:I174"/>
    <mergeCell ref="A49:H49"/>
    <mergeCell ref="A70:F70"/>
    <mergeCell ref="A97:H97"/>
    <mergeCell ref="A127:E127"/>
  </mergeCells>
  <printOptions horizontalCentered="1"/>
  <pageMargins left="0.75" right="0.75" top="1" bottom="1" header="0.5" footer="0.5"/>
  <pageSetup horizontalDpi="600" verticalDpi="600" orientation="landscape" scale="92" r:id="rId1"/>
  <rowBreaks count="10" manualBreakCount="10">
    <brk id="23" max="255" man="1"/>
    <brk id="46" max="255" man="1"/>
    <brk id="69" max="255" man="1"/>
    <brk id="96" max="255" man="1"/>
    <brk id="125" max="8" man="1"/>
    <brk id="151" max="8" man="1"/>
    <brk id="173" max="255" man="1"/>
    <brk id="209" max="255" man="1"/>
    <brk id="219" max="255" man="1"/>
    <brk id="250" max="255" man="1"/>
  </rowBreaks>
</worksheet>
</file>

<file path=xl/worksheets/sheet7.xml><?xml version="1.0" encoding="utf-8"?>
<worksheet xmlns="http://schemas.openxmlformats.org/spreadsheetml/2006/main" xmlns:r="http://schemas.openxmlformats.org/officeDocument/2006/relationships">
  <dimension ref="A2:L401"/>
  <sheetViews>
    <sheetView view="pageBreakPreview" zoomScaleSheetLayoutView="100" zoomScalePageLayoutView="0" workbookViewId="0" topLeftCell="A1">
      <pane ySplit="5" topLeftCell="A6" activePane="bottomLeft" state="frozen"/>
      <selection pane="topLeft" activeCell="A1" sqref="A1"/>
      <selection pane="bottomLeft" activeCell="D232" sqref="D232"/>
    </sheetView>
  </sheetViews>
  <sheetFormatPr defaultColWidth="9.140625" defaultRowHeight="12.75"/>
  <cols>
    <col min="1" max="1" width="7.28125" style="806" customWidth="1"/>
    <col min="2" max="2" width="32.57421875" style="438" customWidth="1"/>
    <col min="3" max="3" width="9.8515625" style="438" customWidth="1"/>
    <col min="4" max="4" width="11.00390625" style="438" customWidth="1"/>
    <col min="5" max="5" width="10.57421875" style="807" customWidth="1"/>
    <col min="6" max="6" width="21.421875" style="438" customWidth="1"/>
    <col min="7" max="7" width="12.8515625" style="438" customWidth="1"/>
    <col min="8" max="8" width="9.140625" style="438" customWidth="1"/>
    <col min="9" max="9" width="12.8515625" style="438" customWidth="1"/>
    <col min="10" max="16384" width="9.140625" style="438" customWidth="1"/>
  </cols>
  <sheetData>
    <row r="1" ht="12.75"/>
    <row r="2" spans="1:7" ht="20.25">
      <c r="A2" s="1301" t="s">
        <v>2021</v>
      </c>
      <c r="B2" s="1301"/>
      <c r="C2" s="1301"/>
      <c r="D2" s="1301"/>
      <c r="E2" s="1301"/>
      <c r="F2" s="1301"/>
      <c r="G2" s="1301"/>
    </row>
    <row r="3" spans="1:7" ht="21" thickBot="1">
      <c r="A3" s="1125"/>
      <c r="B3" s="1125"/>
      <c r="C3" s="1125"/>
      <c r="D3" s="1125"/>
      <c r="E3" s="1302" t="s">
        <v>416</v>
      </c>
      <c r="F3" s="1302"/>
      <c r="G3" s="1302"/>
    </row>
    <row r="4" spans="1:7" ht="13.5" thickTop="1">
      <c r="A4" s="1303" t="s">
        <v>2183</v>
      </c>
      <c r="B4" s="1305" t="s">
        <v>2184</v>
      </c>
      <c r="C4" s="1305" t="s">
        <v>2185</v>
      </c>
      <c r="D4" s="1307" t="s">
        <v>2186</v>
      </c>
      <c r="E4" s="1309" t="s">
        <v>2943</v>
      </c>
      <c r="F4" s="1307" t="s">
        <v>2944</v>
      </c>
      <c r="G4" s="1311" t="s">
        <v>2945</v>
      </c>
    </row>
    <row r="5" spans="1:9" ht="27" customHeight="1" thickBot="1">
      <c r="A5" s="1304"/>
      <c r="B5" s="1306"/>
      <c r="C5" s="1306"/>
      <c r="D5" s="1308"/>
      <c r="E5" s="1310"/>
      <c r="F5" s="1308"/>
      <c r="G5" s="1312"/>
      <c r="I5" s="807"/>
    </row>
    <row r="6" spans="1:7" s="419" customFormat="1" ht="13.5" thickTop="1">
      <c r="A6" s="1107"/>
      <c r="B6" s="1108"/>
      <c r="C6" s="1108"/>
      <c r="D6" s="1109"/>
      <c r="E6" s="1110"/>
      <c r="F6" s="1109"/>
      <c r="G6" s="1111"/>
    </row>
    <row r="7" spans="1:8" ht="12.75">
      <c r="A7" s="1143">
        <v>1</v>
      </c>
      <c r="B7" s="1144" t="s">
        <v>1151</v>
      </c>
      <c r="C7" s="1145" t="s">
        <v>3095</v>
      </c>
      <c r="D7" s="1146">
        <f>((278.75/1.15)+10+3)</f>
        <v>255.3913043478261</v>
      </c>
      <c r="E7" s="1147">
        <f aca="true" t="shared" si="0" ref="E7:E17">D7*1.15</f>
        <v>293.7</v>
      </c>
      <c r="F7" s="1144" t="s">
        <v>1022</v>
      </c>
      <c r="G7" s="1148"/>
      <c r="H7" s="1127"/>
    </row>
    <row r="8" spans="1:7" ht="14.25">
      <c r="A8" s="1112">
        <v>2</v>
      </c>
      <c r="B8" s="875" t="s">
        <v>622</v>
      </c>
      <c r="C8" s="1113" t="s">
        <v>1567</v>
      </c>
      <c r="D8" s="1114">
        <f>5000/16</f>
        <v>312.5</v>
      </c>
      <c r="E8" s="1115">
        <f t="shared" si="0"/>
        <v>359.375</v>
      </c>
      <c r="F8" s="875" t="s">
        <v>1023</v>
      </c>
      <c r="G8" s="1119"/>
    </row>
    <row r="9" spans="1:7" ht="14.25">
      <c r="A9" s="1143">
        <v>3</v>
      </c>
      <c r="B9" s="1144" t="s">
        <v>2349</v>
      </c>
      <c r="C9" s="1145" t="s">
        <v>1567</v>
      </c>
      <c r="D9" s="1149">
        <v>160</v>
      </c>
      <c r="E9" s="1144">
        <f t="shared" si="0"/>
        <v>184</v>
      </c>
      <c r="F9" s="1144" t="s">
        <v>1024</v>
      </c>
      <c r="G9" s="1148"/>
    </row>
    <row r="10" spans="1:7" ht="14.25">
      <c r="A10" s="1143">
        <v>4</v>
      </c>
      <c r="B10" s="1144" t="s">
        <v>1025</v>
      </c>
      <c r="C10" s="1145" t="s">
        <v>1567</v>
      </c>
      <c r="D10" s="1149">
        <v>156.52</v>
      </c>
      <c r="E10" s="1147">
        <f t="shared" si="0"/>
        <v>179.998</v>
      </c>
      <c r="F10" s="1144" t="s">
        <v>1023</v>
      </c>
      <c r="G10" s="1148"/>
    </row>
    <row r="11" spans="1:7" ht="14.25">
      <c r="A11" s="1143">
        <v>5</v>
      </c>
      <c r="B11" s="1144" t="s">
        <v>1026</v>
      </c>
      <c r="C11" s="1145" t="s">
        <v>1567</v>
      </c>
      <c r="D11" s="1149">
        <v>74.78</v>
      </c>
      <c r="E11" s="1147">
        <f t="shared" si="0"/>
        <v>85.997</v>
      </c>
      <c r="F11" s="1144" t="s">
        <v>1024</v>
      </c>
      <c r="G11" s="1148"/>
    </row>
    <row r="12" spans="1:7" ht="14.25">
      <c r="A12" s="1143">
        <v>6</v>
      </c>
      <c r="B12" s="1144" t="s">
        <v>1027</v>
      </c>
      <c r="C12" s="1145" t="s">
        <v>1567</v>
      </c>
      <c r="D12" s="1149">
        <v>25</v>
      </c>
      <c r="E12" s="1147">
        <f t="shared" si="0"/>
        <v>28.749999999999996</v>
      </c>
      <c r="F12" s="1144" t="s">
        <v>1024</v>
      </c>
      <c r="G12" s="1148"/>
    </row>
    <row r="13" spans="1:7" ht="14.25">
      <c r="A13" s="1112">
        <v>7</v>
      </c>
      <c r="B13" s="875" t="s">
        <v>2365</v>
      </c>
      <c r="C13" s="1113" t="s">
        <v>1567</v>
      </c>
      <c r="D13" s="1114">
        <v>93.75</v>
      </c>
      <c r="E13" s="1115">
        <f t="shared" si="0"/>
        <v>107.81249999999999</v>
      </c>
      <c r="F13" s="875" t="s">
        <v>1023</v>
      </c>
      <c r="G13" s="1116"/>
    </row>
    <row r="14" spans="1:7" ht="14.25">
      <c r="A14" s="1112">
        <v>8</v>
      </c>
      <c r="B14" s="875" t="s">
        <v>2364</v>
      </c>
      <c r="C14" s="1113" t="s">
        <v>1567</v>
      </c>
      <c r="D14" s="1114">
        <v>143.75</v>
      </c>
      <c r="E14" s="1115">
        <f t="shared" si="0"/>
        <v>165.3125</v>
      </c>
      <c r="F14" s="875" t="s">
        <v>1023</v>
      </c>
      <c r="G14" s="1116"/>
    </row>
    <row r="15" spans="1:7" ht="14.25">
      <c r="A15" s="1112">
        <v>9</v>
      </c>
      <c r="B15" s="875" t="s">
        <v>2348</v>
      </c>
      <c r="C15" s="1113" t="s">
        <v>1567</v>
      </c>
      <c r="D15" s="1114">
        <v>47.83</v>
      </c>
      <c r="E15" s="1115">
        <f t="shared" si="0"/>
        <v>55.00449999999999</v>
      </c>
      <c r="F15" s="875" t="s">
        <v>1023</v>
      </c>
      <c r="G15" s="1116"/>
    </row>
    <row r="16" spans="1:7" ht="14.25">
      <c r="A16" s="1112">
        <v>10</v>
      </c>
      <c r="B16" s="875" t="s">
        <v>2349</v>
      </c>
      <c r="C16" s="1113" t="s">
        <v>1567</v>
      </c>
      <c r="D16" s="1114">
        <v>200</v>
      </c>
      <c r="E16" s="1115">
        <f t="shared" si="0"/>
        <v>229.99999999999997</v>
      </c>
      <c r="F16" s="875" t="s">
        <v>1023</v>
      </c>
      <c r="G16" s="1116"/>
    </row>
    <row r="17" spans="1:7" ht="14.25">
      <c r="A17" s="1112">
        <v>11</v>
      </c>
      <c r="B17" s="875" t="s">
        <v>2350</v>
      </c>
      <c r="C17" s="1113" t="s">
        <v>1567</v>
      </c>
      <c r="D17" s="1114">
        <v>3</v>
      </c>
      <c r="E17" s="1115">
        <f t="shared" si="0"/>
        <v>3.4499999999999997</v>
      </c>
      <c r="F17" s="875" t="s">
        <v>2351</v>
      </c>
      <c r="G17" s="1116"/>
    </row>
    <row r="18" spans="1:7" ht="12.75">
      <c r="A18" s="1112"/>
      <c r="B18" s="1120" t="s">
        <v>3096</v>
      </c>
      <c r="C18" s="1113"/>
      <c r="D18" s="1114"/>
      <c r="E18" s="1115"/>
      <c r="F18" s="875"/>
      <c r="G18" s="1116"/>
    </row>
    <row r="19" spans="1:7" ht="12.75">
      <c r="A19" s="1112">
        <v>12</v>
      </c>
      <c r="B19" s="1117" t="s">
        <v>3085</v>
      </c>
      <c r="C19" s="1113" t="s">
        <v>86</v>
      </c>
      <c r="D19" s="1114">
        <v>15.52</v>
      </c>
      <c r="E19" s="1115">
        <f>D19*1.15</f>
        <v>17.848</v>
      </c>
      <c r="F19" s="1118" t="s">
        <v>417</v>
      </c>
      <c r="G19" s="1119"/>
    </row>
    <row r="20" spans="1:7" ht="15.75">
      <c r="A20" s="1143">
        <v>13</v>
      </c>
      <c r="B20" s="1150" t="s">
        <v>3086</v>
      </c>
      <c r="C20" s="1145" t="s">
        <v>86</v>
      </c>
      <c r="D20" s="1149">
        <v>16.53</v>
      </c>
      <c r="E20" s="1147">
        <f aca="true" t="shared" si="1" ref="E20:E30">D20*1.15</f>
        <v>19.0095</v>
      </c>
      <c r="F20" s="1151" t="s">
        <v>2148</v>
      </c>
      <c r="G20" s="1148"/>
    </row>
    <row r="21" spans="1:7" ht="15.75">
      <c r="A21" s="1143">
        <v>14</v>
      </c>
      <c r="B21" s="1150" t="s">
        <v>3087</v>
      </c>
      <c r="C21" s="1145" t="s">
        <v>86</v>
      </c>
      <c r="D21" s="1149">
        <v>15.66</v>
      </c>
      <c r="E21" s="1147">
        <f t="shared" si="1"/>
        <v>18.009</v>
      </c>
      <c r="F21" s="1151" t="s">
        <v>2148</v>
      </c>
      <c r="G21" s="1148"/>
    </row>
    <row r="22" spans="1:7" ht="15.75">
      <c r="A22" s="1143">
        <v>15</v>
      </c>
      <c r="B22" s="1150" t="s">
        <v>3088</v>
      </c>
      <c r="C22" s="1145" t="s">
        <v>86</v>
      </c>
      <c r="D22" s="1149">
        <v>15.66</v>
      </c>
      <c r="E22" s="1147">
        <f t="shared" si="1"/>
        <v>18.009</v>
      </c>
      <c r="F22" s="1151" t="s">
        <v>2148</v>
      </c>
      <c r="G22" s="1148"/>
    </row>
    <row r="23" spans="1:7" ht="15.75">
      <c r="A23" s="1143">
        <v>16</v>
      </c>
      <c r="B23" s="1150" t="s">
        <v>3089</v>
      </c>
      <c r="C23" s="1145" t="s">
        <v>86</v>
      </c>
      <c r="D23" s="1149">
        <f>D22</f>
        <v>15.66</v>
      </c>
      <c r="E23" s="1147">
        <f t="shared" si="1"/>
        <v>18.009</v>
      </c>
      <c r="F23" s="1151" t="s">
        <v>2148</v>
      </c>
      <c r="G23" s="1148"/>
    </row>
    <row r="24" spans="1:7" ht="15.75">
      <c r="A24" s="1143">
        <v>17</v>
      </c>
      <c r="B24" s="1150" t="s">
        <v>3090</v>
      </c>
      <c r="C24" s="1145" t="s">
        <v>86</v>
      </c>
      <c r="D24" s="1149">
        <f>D22</f>
        <v>15.66</v>
      </c>
      <c r="E24" s="1147">
        <f t="shared" si="1"/>
        <v>18.009</v>
      </c>
      <c r="F24" s="1151" t="s">
        <v>2148</v>
      </c>
      <c r="G24" s="1148"/>
    </row>
    <row r="25" spans="1:7" ht="15.75">
      <c r="A25" s="1143">
        <v>18</v>
      </c>
      <c r="B25" s="1150" t="s">
        <v>3091</v>
      </c>
      <c r="C25" s="1145" t="s">
        <v>86</v>
      </c>
      <c r="D25" s="1149">
        <f>D22</f>
        <v>15.66</v>
      </c>
      <c r="E25" s="1147">
        <f t="shared" si="1"/>
        <v>18.009</v>
      </c>
      <c r="F25" s="1151" t="s">
        <v>2148</v>
      </c>
      <c r="G25" s="1148"/>
    </row>
    <row r="26" spans="1:7" ht="12.75" customHeight="1">
      <c r="A26" s="1152">
        <v>19</v>
      </c>
      <c r="B26" s="1153" t="s">
        <v>3092</v>
      </c>
      <c r="C26" s="1154" t="s">
        <v>86</v>
      </c>
      <c r="D26" s="1155">
        <f>D22</f>
        <v>15.66</v>
      </c>
      <c r="E26" s="1156">
        <f t="shared" si="1"/>
        <v>18.009</v>
      </c>
      <c r="F26" s="1157" t="s">
        <v>2148</v>
      </c>
      <c r="G26" s="1158"/>
    </row>
    <row r="27" spans="1:7" ht="15.75" customHeight="1">
      <c r="A27" s="1152">
        <v>20</v>
      </c>
      <c r="B27" s="1153" t="s">
        <v>3093</v>
      </c>
      <c r="C27" s="1154" t="s">
        <v>86</v>
      </c>
      <c r="D27" s="1155">
        <f>D22</f>
        <v>15.66</v>
      </c>
      <c r="E27" s="1156">
        <f t="shared" si="1"/>
        <v>18.009</v>
      </c>
      <c r="F27" s="1157" t="s">
        <v>2148</v>
      </c>
      <c r="G27" s="1158"/>
    </row>
    <row r="28" spans="1:7" ht="13.5" customHeight="1">
      <c r="A28" s="1152">
        <v>21</v>
      </c>
      <c r="B28" s="1153" t="s">
        <v>3094</v>
      </c>
      <c r="C28" s="1154" t="s">
        <v>86</v>
      </c>
      <c r="D28" s="1155">
        <f>D22</f>
        <v>15.66</v>
      </c>
      <c r="E28" s="1156">
        <f t="shared" si="1"/>
        <v>18.009</v>
      </c>
      <c r="F28" s="1157" t="s">
        <v>2148</v>
      </c>
      <c r="G28" s="1158"/>
    </row>
    <row r="29" spans="1:7" ht="12.75" customHeight="1">
      <c r="A29" s="1152">
        <v>23</v>
      </c>
      <c r="B29" s="1153" t="s">
        <v>202</v>
      </c>
      <c r="C29" s="1154" t="s">
        <v>86</v>
      </c>
      <c r="D29" s="1155">
        <f>D22</f>
        <v>15.66</v>
      </c>
      <c r="E29" s="1156">
        <f t="shared" si="1"/>
        <v>18.009</v>
      </c>
      <c r="F29" s="1157" t="s">
        <v>2148</v>
      </c>
      <c r="G29" s="1158"/>
    </row>
    <row r="30" spans="1:7" ht="12.75">
      <c r="A30" s="1143">
        <v>24</v>
      </c>
      <c r="B30" s="1150" t="s">
        <v>3084</v>
      </c>
      <c r="C30" s="1145" t="s">
        <v>86</v>
      </c>
      <c r="D30" s="1149">
        <v>23.5</v>
      </c>
      <c r="E30" s="1147">
        <f t="shared" si="1"/>
        <v>27.025</v>
      </c>
      <c r="F30" s="1162" t="s">
        <v>418</v>
      </c>
      <c r="G30" s="1148"/>
    </row>
    <row r="31" spans="1:7" ht="12.75">
      <c r="A31" s="1112"/>
      <c r="B31" s="1120" t="s">
        <v>988</v>
      </c>
      <c r="C31" s="1113"/>
      <c r="D31" s="1114"/>
      <c r="E31" s="1115"/>
      <c r="F31" s="1118"/>
      <c r="G31" s="1116"/>
    </row>
    <row r="32" spans="1:7" ht="15.75" customHeight="1">
      <c r="A32" s="1112"/>
      <c r="B32" s="1117" t="s">
        <v>989</v>
      </c>
      <c r="C32" s="1113" t="s">
        <v>1565</v>
      </c>
      <c r="D32" s="1114">
        <v>958.26</v>
      </c>
      <c r="E32" s="1115">
        <f>D32*1.15</f>
        <v>1101.9989999999998</v>
      </c>
      <c r="F32" s="1118" t="s">
        <v>999</v>
      </c>
      <c r="G32" s="1260" t="s">
        <v>1872</v>
      </c>
    </row>
    <row r="33" spans="1:7" ht="14.25">
      <c r="A33" s="1112"/>
      <c r="B33" s="1117" t="s">
        <v>990</v>
      </c>
      <c r="C33" s="1113" t="s">
        <v>1565</v>
      </c>
      <c r="D33" s="1114">
        <v>958.26</v>
      </c>
      <c r="E33" s="1115">
        <f aca="true" t="shared" si="2" ref="E33:E43">D33*1.15</f>
        <v>1101.9989999999998</v>
      </c>
      <c r="F33" s="1118" t="s">
        <v>999</v>
      </c>
      <c r="G33" s="1260" t="s">
        <v>1872</v>
      </c>
    </row>
    <row r="34" spans="1:7" ht="14.25">
      <c r="A34" s="1112"/>
      <c r="B34" s="1117" t="s">
        <v>991</v>
      </c>
      <c r="C34" s="1113" t="s">
        <v>1565</v>
      </c>
      <c r="D34" s="1114">
        <v>1160</v>
      </c>
      <c r="E34" s="1115">
        <f t="shared" si="2"/>
        <v>1334</v>
      </c>
      <c r="F34" s="1118" t="s">
        <v>999</v>
      </c>
      <c r="G34" s="1260" t="s">
        <v>1872</v>
      </c>
    </row>
    <row r="35" spans="1:7" ht="12.75">
      <c r="A35" s="1112"/>
      <c r="B35" s="1117" t="s">
        <v>992</v>
      </c>
      <c r="C35" s="1113" t="s">
        <v>2938</v>
      </c>
      <c r="D35" s="1114">
        <v>11.04</v>
      </c>
      <c r="E35" s="1115">
        <f t="shared" si="2"/>
        <v>12.695999999999998</v>
      </c>
      <c r="F35" s="1118" t="s">
        <v>999</v>
      </c>
      <c r="G35" s="1260" t="s">
        <v>1872</v>
      </c>
    </row>
    <row r="36" spans="1:7" ht="12.75">
      <c r="A36" s="1112"/>
      <c r="B36" s="1117" t="s">
        <v>998</v>
      </c>
      <c r="C36" s="1113" t="s">
        <v>2938</v>
      </c>
      <c r="D36" s="1114">
        <v>12.63</v>
      </c>
      <c r="E36" s="1115">
        <f t="shared" si="2"/>
        <v>14.5245</v>
      </c>
      <c r="F36" s="1118" t="s">
        <v>999</v>
      </c>
      <c r="G36" s="1260" t="s">
        <v>1872</v>
      </c>
    </row>
    <row r="37" spans="1:7" ht="12.75">
      <c r="A37" s="1112"/>
      <c r="B37" s="1117" t="s">
        <v>993</v>
      </c>
      <c r="C37" s="1113" t="s">
        <v>2938</v>
      </c>
      <c r="D37" s="1114">
        <v>6.64</v>
      </c>
      <c r="E37" s="1115">
        <f t="shared" si="2"/>
        <v>7.635999999999999</v>
      </c>
      <c r="F37" s="1118" t="s">
        <v>999</v>
      </c>
      <c r="G37" s="1260" t="s">
        <v>1872</v>
      </c>
    </row>
    <row r="38" spans="1:7" ht="12.75">
      <c r="A38" s="1112"/>
      <c r="B38" s="1117" t="s">
        <v>994</v>
      </c>
      <c r="C38" s="1113" t="s">
        <v>2938</v>
      </c>
      <c r="D38" s="1114">
        <v>4.25</v>
      </c>
      <c r="E38" s="1115">
        <f t="shared" si="2"/>
        <v>4.887499999999999</v>
      </c>
      <c r="F38" s="1118" t="s">
        <v>999</v>
      </c>
      <c r="G38" s="1260" t="s">
        <v>1872</v>
      </c>
    </row>
    <row r="39" spans="1:7" ht="12.75">
      <c r="A39" s="1112"/>
      <c r="B39" s="1117" t="s">
        <v>995</v>
      </c>
      <c r="C39" s="1113" t="s">
        <v>2938</v>
      </c>
      <c r="D39" s="1114">
        <v>13.01</v>
      </c>
      <c r="E39" s="1115">
        <f t="shared" si="2"/>
        <v>14.9615</v>
      </c>
      <c r="F39" s="1118" t="s">
        <v>999</v>
      </c>
      <c r="G39" s="1260" t="s">
        <v>1872</v>
      </c>
    </row>
    <row r="40" spans="1:7" ht="13.5" customHeight="1">
      <c r="A40" s="1112"/>
      <c r="B40" s="1117" t="s">
        <v>3082</v>
      </c>
      <c r="C40" s="1113" t="s">
        <v>2938</v>
      </c>
      <c r="D40" s="1114">
        <f>163.47+3</f>
        <v>166.47</v>
      </c>
      <c r="E40" s="1115">
        <f>D40*1.15</f>
        <v>191.4405</v>
      </c>
      <c r="F40" s="1118" t="s">
        <v>999</v>
      </c>
      <c r="G40" s="1260" t="s">
        <v>1872</v>
      </c>
    </row>
    <row r="41" spans="1:7" ht="15" customHeight="1">
      <c r="A41" s="1112"/>
      <c r="B41" s="1117" t="s">
        <v>996</v>
      </c>
      <c r="C41" s="1113" t="s">
        <v>1565</v>
      </c>
      <c r="D41" s="1114">
        <f>(1013.33+811.59+566.09)/3</f>
        <v>797.0033333333334</v>
      </c>
      <c r="E41" s="1115">
        <f t="shared" si="2"/>
        <v>916.5538333333334</v>
      </c>
      <c r="F41" s="1118" t="s">
        <v>999</v>
      </c>
      <c r="G41" s="1260" t="s">
        <v>1872</v>
      </c>
    </row>
    <row r="42" spans="1:7" ht="13.5" customHeight="1">
      <c r="A42" s="1112"/>
      <c r="B42" s="1117" t="s">
        <v>3083</v>
      </c>
      <c r="C42" s="1113" t="s">
        <v>1565</v>
      </c>
      <c r="D42" s="1114">
        <v>1409.3</v>
      </c>
      <c r="E42" s="1115">
        <f t="shared" si="2"/>
        <v>1620.6949999999997</v>
      </c>
      <c r="F42" s="1118" t="s">
        <v>999</v>
      </c>
      <c r="G42" s="1260" t="s">
        <v>1872</v>
      </c>
    </row>
    <row r="43" spans="1:7" ht="14.25">
      <c r="A43" s="1112"/>
      <c r="B43" s="1117" t="s">
        <v>997</v>
      </c>
      <c r="C43" s="1113" t="s">
        <v>1565</v>
      </c>
      <c r="D43" s="1114">
        <v>1011.28</v>
      </c>
      <c r="E43" s="1115">
        <f t="shared" si="2"/>
        <v>1162.972</v>
      </c>
      <c r="F43" s="1118" t="s">
        <v>999</v>
      </c>
      <c r="G43" s="1260" t="s">
        <v>1872</v>
      </c>
    </row>
    <row r="44" spans="1:7" ht="12.75">
      <c r="A44" s="1112"/>
      <c r="B44" s="1120" t="s">
        <v>3097</v>
      </c>
      <c r="C44" s="1113"/>
      <c r="D44" s="1114"/>
      <c r="E44" s="1115"/>
      <c r="F44" s="875"/>
      <c r="G44" s="1116"/>
    </row>
    <row r="45" spans="1:7" ht="12.75">
      <c r="A45" s="1143">
        <v>25</v>
      </c>
      <c r="B45" s="1150" t="s">
        <v>1028</v>
      </c>
      <c r="C45" s="1145" t="s">
        <v>3098</v>
      </c>
      <c r="D45" s="1146">
        <f>185.73+5+3</f>
        <v>193.73</v>
      </c>
      <c r="E45" s="1147">
        <f aca="true" t="shared" si="3" ref="E45:E52">D45*1.15</f>
        <v>222.78949999999998</v>
      </c>
      <c r="F45" s="1144" t="s">
        <v>418</v>
      </c>
      <c r="G45" s="1148"/>
    </row>
    <row r="46" spans="1:7" ht="12.75">
      <c r="A46" s="1143">
        <v>26</v>
      </c>
      <c r="B46" s="1150" t="s">
        <v>1029</v>
      </c>
      <c r="C46" s="1145" t="s">
        <v>3098</v>
      </c>
      <c r="D46" s="1149">
        <f>160.41+5+3</f>
        <v>168.41</v>
      </c>
      <c r="E46" s="1147">
        <f t="shared" si="3"/>
        <v>193.67149999999998</v>
      </c>
      <c r="F46" s="1144" t="s">
        <v>418</v>
      </c>
      <c r="G46" s="1148"/>
    </row>
    <row r="47" spans="1:7" ht="12.75">
      <c r="A47" s="1143">
        <v>27</v>
      </c>
      <c r="B47" s="1150" t="s">
        <v>1030</v>
      </c>
      <c r="C47" s="1145" t="s">
        <v>3098</v>
      </c>
      <c r="D47" s="1149">
        <f>126.63+5+3</f>
        <v>134.63</v>
      </c>
      <c r="E47" s="1147">
        <f t="shared" si="3"/>
        <v>154.82449999999997</v>
      </c>
      <c r="F47" s="1144" t="s">
        <v>418</v>
      </c>
      <c r="G47" s="1148"/>
    </row>
    <row r="48" spans="1:7" ht="12.75">
      <c r="A48" s="1143">
        <v>28</v>
      </c>
      <c r="B48" s="1150" t="s">
        <v>1031</v>
      </c>
      <c r="C48" s="1145" t="s">
        <v>3098</v>
      </c>
      <c r="D48" s="1149">
        <f>89.49+5+3</f>
        <v>97.49</v>
      </c>
      <c r="E48" s="1147">
        <f t="shared" si="3"/>
        <v>112.11349999999999</v>
      </c>
      <c r="F48" s="1144" t="s">
        <v>418</v>
      </c>
      <c r="G48" s="1148"/>
    </row>
    <row r="49" spans="1:7" ht="12.75">
      <c r="A49" s="1152">
        <v>29</v>
      </c>
      <c r="B49" s="1153" t="s">
        <v>1028</v>
      </c>
      <c r="C49" s="1154" t="s">
        <v>3098</v>
      </c>
      <c r="D49" s="1155">
        <v>81.22</v>
      </c>
      <c r="E49" s="1156">
        <f t="shared" si="3"/>
        <v>93.40299999999999</v>
      </c>
      <c r="F49" s="1160" t="s">
        <v>2499</v>
      </c>
      <c r="G49" s="1161"/>
    </row>
    <row r="50" spans="1:7" ht="12.75">
      <c r="A50" s="1152">
        <v>30</v>
      </c>
      <c r="B50" s="1153" t="s">
        <v>1029</v>
      </c>
      <c r="C50" s="1154" t="s">
        <v>3098</v>
      </c>
      <c r="D50" s="1155">
        <v>75.22</v>
      </c>
      <c r="E50" s="1156">
        <f t="shared" si="3"/>
        <v>86.50299999999999</v>
      </c>
      <c r="F50" s="1160" t="s">
        <v>2499</v>
      </c>
      <c r="G50" s="1161"/>
    </row>
    <row r="51" spans="1:7" ht="12.75">
      <c r="A51" s="1152">
        <v>31</v>
      </c>
      <c r="B51" s="1153" t="s">
        <v>1030</v>
      </c>
      <c r="C51" s="1154" t="s">
        <v>3098</v>
      </c>
      <c r="D51" s="1155">
        <v>58.87</v>
      </c>
      <c r="E51" s="1156">
        <f t="shared" si="3"/>
        <v>67.70049999999999</v>
      </c>
      <c r="F51" s="1160" t="s">
        <v>2499</v>
      </c>
      <c r="G51" s="1161"/>
    </row>
    <row r="52" spans="1:7" ht="12.75">
      <c r="A52" s="1152">
        <v>32</v>
      </c>
      <c r="B52" s="1153" t="s">
        <v>1031</v>
      </c>
      <c r="C52" s="1154" t="s">
        <v>3098</v>
      </c>
      <c r="D52" s="1155">
        <v>47.48</v>
      </c>
      <c r="E52" s="1156">
        <f t="shared" si="3"/>
        <v>54.60199999999999</v>
      </c>
      <c r="F52" s="1160" t="s">
        <v>2499</v>
      </c>
      <c r="G52" s="1161"/>
    </row>
    <row r="53" spans="1:7" ht="12.75">
      <c r="A53" s="1112"/>
      <c r="B53" s="1120" t="s">
        <v>2884</v>
      </c>
      <c r="C53" s="1113"/>
      <c r="D53" s="1114"/>
      <c r="E53" s="1115"/>
      <c r="F53" s="875"/>
      <c r="G53" s="1116"/>
    </row>
    <row r="54" spans="1:11" ht="14.25">
      <c r="A54" s="1163">
        <v>33</v>
      </c>
      <c r="B54" s="1164" t="s">
        <v>2885</v>
      </c>
      <c r="C54" s="1165" t="s">
        <v>1565</v>
      </c>
      <c r="D54" s="1166">
        <f>(0.3/1000)*7850*30.27</f>
        <v>71.28585</v>
      </c>
      <c r="E54" s="1167">
        <f>D54*1.15</f>
        <v>81.97872749999999</v>
      </c>
      <c r="F54" s="1168" t="s">
        <v>2499</v>
      </c>
      <c r="G54" s="1148"/>
      <c r="H54" s="1126"/>
      <c r="I54" s="1127">
        <f>3*(0.3/1000)</f>
        <v>0.0009</v>
      </c>
      <c r="J54" s="1127">
        <f>I54*7850</f>
        <v>7.0649999999999995</v>
      </c>
      <c r="K54" s="1127">
        <f>80.53/J54</f>
        <v>11.398443029016278</v>
      </c>
    </row>
    <row r="55" spans="1:11" ht="14.25">
      <c r="A55" s="1163">
        <v>34</v>
      </c>
      <c r="B55" s="1164" t="s">
        <v>2886</v>
      </c>
      <c r="C55" s="1165" t="s">
        <v>1565</v>
      </c>
      <c r="D55" s="1166">
        <f>D54*35/30</f>
        <v>83.166825</v>
      </c>
      <c r="E55" s="1167">
        <f aca="true" t="shared" si="4" ref="E55:E61">D55*1.15</f>
        <v>95.64184875</v>
      </c>
      <c r="F55" s="1168" t="s">
        <v>2499</v>
      </c>
      <c r="G55" s="1148"/>
      <c r="I55" s="1127"/>
      <c r="J55" s="1127"/>
      <c r="K55" s="1127"/>
    </row>
    <row r="56" spans="1:11" ht="14.25">
      <c r="A56" s="1163">
        <v>35</v>
      </c>
      <c r="B56" s="1164" t="s">
        <v>2887</v>
      </c>
      <c r="C56" s="1165" t="s">
        <v>1565</v>
      </c>
      <c r="D56" s="1166">
        <f>D54*40/30</f>
        <v>95.0478</v>
      </c>
      <c r="E56" s="1167">
        <f t="shared" si="4"/>
        <v>109.30496999999998</v>
      </c>
      <c r="F56" s="1168" t="s">
        <v>2499</v>
      </c>
      <c r="G56" s="1148"/>
      <c r="I56" s="1127">
        <f>3*(0.4/1000)</f>
        <v>0.0012000000000000001</v>
      </c>
      <c r="J56" s="1127">
        <f>I56*7850</f>
        <v>9.420000000000002</v>
      </c>
      <c r="K56" s="1127">
        <f>104.75/J56</f>
        <v>11.119957537154987</v>
      </c>
    </row>
    <row r="57" spans="1:11" ht="14.25">
      <c r="A57" s="1163">
        <v>36</v>
      </c>
      <c r="B57" s="1164" t="s">
        <v>2888</v>
      </c>
      <c r="C57" s="1165" t="s">
        <v>1565</v>
      </c>
      <c r="D57" s="1166">
        <f>D54*50/30</f>
        <v>118.80975</v>
      </c>
      <c r="E57" s="1167">
        <f t="shared" si="4"/>
        <v>136.63121249999998</v>
      </c>
      <c r="F57" s="1168" t="s">
        <v>2499</v>
      </c>
      <c r="G57" s="1148"/>
      <c r="I57" s="1127">
        <f>3*(0.5/1000)</f>
        <v>0.0015</v>
      </c>
      <c r="J57" s="1127">
        <f>I57*7850</f>
        <v>11.775</v>
      </c>
      <c r="K57" s="1127">
        <f>128.97/J57</f>
        <v>10.952866242038215</v>
      </c>
    </row>
    <row r="58" spans="1:11" ht="15">
      <c r="A58" s="1163">
        <v>37</v>
      </c>
      <c r="B58" s="1164" t="s">
        <v>2889</v>
      </c>
      <c r="C58" s="1165" t="s">
        <v>1565</v>
      </c>
      <c r="D58" s="1166">
        <f>D54*60/30</f>
        <v>142.5717</v>
      </c>
      <c r="E58" s="1167">
        <f t="shared" si="4"/>
        <v>163.95745499999998</v>
      </c>
      <c r="F58" s="1168" t="s">
        <v>2499</v>
      </c>
      <c r="G58" s="1148"/>
      <c r="K58" s="1128">
        <f>AVERAGE(K54:K57)</f>
        <v>11.157088936069826</v>
      </c>
    </row>
    <row r="59" spans="1:11" ht="14.25">
      <c r="A59" s="1163">
        <v>38</v>
      </c>
      <c r="B59" s="1164" t="s">
        <v>2890</v>
      </c>
      <c r="C59" s="1165" t="s">
        <v>1565</v>
      </c>
      <c r="D59" s="1166">
        <f>D54*70/30</f>
        <v>166.33365</v>
      </c>
      <c r="E59" s="1167">
        <f t="shared" si="4"/>
        <v>191.2836975</v>
      </c>
      <c r="F59" s="1168" t="s">
        <v>2499</v>
      </c>
      <c r="G59" s="1148"/>
      <c r="K59" s="1129"/>
    </row>
    <row r="60" spans="1:7" ht="14.25">
      <c r="A60" s="1163">
        <v>39</v>
      </c>
      <c r="B60" s="1164" t="s">
        <v>2891</v>
      </c>
      <c r="C60" s="1165" t="s">
        <v>1565</v>
      </c>
      <c r="D60" s="1166">
        <f>D54*80/30</f>
        <v>190.0956</v>
      </c>
      <c r="E60" s="1167">
        <f t="shared" si="4"/>
        <v>218.60993999999997</v>
      </c>
      <c r="F60" s="1168" t="s">
        <v>2499</v>
      </c>
      <c r="G60" s="1148"/>
    </row>
    <row r="61" spans="1:7" ht="14.25">
      <c r="A61" s="1163">
        <v>40</v>
      </c>
      <c r="B61" s="1164" t="s">
        <v>2892</v>
      </c>
      <c r="C61" s="1165" t="s">
        <v>1565</v>
      </c>
      <c r="D61" s="1166">
        <f>D54*100/30</f>
        <v>237.6195</v>
      </c>
      <c r="E61" s="1167">
        <f t="shared" si="4"/>
        <v>273.26242499999995</v>
      </c>
      <c r="F61" s="1168" t="s">
        <v>2499</v>
      </c>
      <c r="G61" s="1148"/>
    </row>
    <row r="62" spans="1:11" ht="14.25">
      <c r="A62" s="1163">
        <v>41</v>
      </c>
      <c r="B62" s="1164" t="s">
        <v>2893</v>
      </c>
      <c r="C62" s="1165" t="s">
        <v>2137</v>
      </c>
      <c r="D62" s="1166">
        <f>(0.3/1000)*7850*30.77</f>
        <v>72.46335</v>
      </c>
      <c r="E62" s="1167">
        <f aca="true" t="shared" si="5" ref="E62:E93">D62*1.15</f>
        <v>83.3328525</v>
      </c>
      <c r="F62" s="1168" t="s">
        <v>2499</v>
      </c>
      <c r="G62" s="1148"/>
      <c r="H62" s="1126"/>
      <c r="I62" s="1127">
        <f>4*(0.3/1000)</f>
        <v>0.0012</v>
      </c>
      <c r="J62" s="1127">
        <f>I62*7850</f>
        <v>9.42</v>
      </c>
      <c r="K62" s="1127">
        <f>81.85/J62</f>
        <v>8.68895966029724</v>
      </c>
    </row>
    <row r="63" spans="1:11" ht="14.25">
      <c r="A63" s="1163">
        <v>42</v>
      </c>
      <c r="B63" s="1164" t="s">
        <v>2894</v>
      </c>
      <c r="C63" s="1165" t="s">
        <v>2137</v>
      </c>
      <c r="D63" s="1166">
        <f>D62*35/30</f>
        <v>84.540575</v>
      </c>
      <c r="E63" s="1167">
        <f t="shared" si="5"/>
        <v>97.22166125</v>
      </c>
      <c r="F63" s="1168" t="s">
        <v>2499</v>
      </c>
      <c r="G63" s="1148"/>
      <c r="I63" s="1127"/>
      <c r="J63" s="1127"/>
      <c r="K63" s="1127"/>
    </row>
    <row r="64" spans="1:11" ht="14.25">
      <c r="A64" s="1163">
        <v>43</v>
      </c>
      <c r="B64" s="1164" t="s">
        <v>2895</v>
      </c>
      <c r="C64" s="1165" t="s">
        <v>2137</v>
      </c>
      <c r="D64" s="1166">
        <f>D62*40/30</f>
        <v>96.6178</v>
      </c>
      <c r="E64" s="1167">
        <f t="shared" si="5"/>
        <v>111.11046999999999</v>
      </c>
      <c r="F64" s="1168" t="s">
        <v>2499</v>
      </c>
      <c r="G64" s="1148"/>
      <c r="I64" s="1127">
        <f>4*(0.4/1000)</f>
        <v>0.0016</v>
      </c>
      <c r="J64" s="1127">
        <f>I64*7850</f>
        <v>12.56</v>
      </c>
      <c r="K64" s="1127">
        <f>106.46/J64</f>
        <v>8.476114649681527</v>
      </c>
    </row>
    <row r="65" spans="1:11" ht="14.25">
      <c r="A65" s="1163">
        <v>44</v>
      </c>
      <c r="B65" s="1164" t="s">
        <v>2896</v>
      </c>
      <c r="C65" s="1165" t="s">
        <v>2137</v>
      </c>
      <c r="D65" s="1166">
        <f>D62*50/30</f>
        <v>120.77225000000001</v>
      </c>
      <c r="E65" s="1167">
        <f t="shared" si="5"/>
        <v>138.8880875</v>
      </c>
      <c r="F65" s="1168" t="s">
        <v>2499</v>
      </c>
      <c r="G65" s="1148"/>
      <c r="I65" s="1127">
        <f>4*(0.5/1000)</f>
        <v>0.002</v>
      </c>
      <c r="J65" s="1127">
        <f>I65*7850</f>
        <v>15.700000000000001</v>
      </c>
      <c r="K65" s="1127">
        <f>131.08/J65</f>
        <v>8.349044585987262</v>
      </c>
    </row>
    <row r="66" spans="1:11" ht="15">
      <c r="A66" s="1163">
        <v>45</v>
      </c>
      <c r="B66" s="1164" t="s">
        <v>2897</v>
      </c>
      <c r="C66" s="1165" t="s">
        <v>2137</v>
      </c>
      <c r="D66" s="1166">
        <f>D62*60/30</f>
        <v>144.9267</v>
      </c>
      <c r="E66" s="1167">
        <f t="shared" si="5"/>
        <v>166.665705</v>
      </c>
      <c r="F66" s="1168" t="s">
        <v>2499</v>
      </c>
      <c r="G66" s="1148"/>
      <c r="K66" s="1128">
        <f>AVERAGE(K62:K65)</f>
        <v>8.504706298655343</v>
      </c>
    </row>
    <row r="67" spans="1:11" ht="14.25">
      <c r="A67" s="1163">
        <v>46</v>
      </c>
      <c r="B67" s="1164" t="s">
        <v>2898</v>
      </c>
      <c r="C67" s="1165" t="s">
        <v>2137</v>
      </c>
      <c r="D67" s="1166">
        <f>D62*70/30</f>
        <v>169.08115</v>
      </c>
      <c r="E67" s="1167">
        <f t="shared" si="5"/>
        <v>194.4433225</v>
      </c>
      <c r="F67" s="1168" t="s">
        <v>2499</v>
      </c>
      <c r="G67" s="1148"/>
      <c r="K67" s="1127"/>
    </row>
    <row r="68" spans="1:7" ht="14.25">
      <c r="A68" s="1163">
        <v>47</v>
      </c>
      <c r="B68" s="1164" t="s">
        <v>2899</v>
      </c>
      <c r="C68" s="1165" t="s">
        <v>2137</v>
      </c>
      <c r="D68" s="1166">
        <f>D62*80/30</f>
        <v>193.2356</v>
      </c>
      <c r="E68" s="1167">
        <f t="shared" si="5"/>
        <v>222.22093999999998</v>
      </c>
      <c r="F68" s="1168" t="s">
        <v>2499</v>
      </c>
      <c r="G68" s="1148"/>
    </row>
    <row r="69" spans="1:7" ht="14.25">
      <c r="A69" s="1163">
        <v>48</v>
      </c>
      <c r="B69" s="1164" t="s">
        <v>2900</v>
      </c>
      <c r="C69" s="1165" t="s">
        <v>2137</v>
      </c>
      <c r="D69" s="1166">
        <f>D62*100/30</f>
        <v>241.54450000000003</v>
      </c>
      <c r="E69" s="1167">
        <f t="shared" si="5"/>
        <v>277.776175</v>
      </c>
      <c r="F69" s="1168" t="s">
        <v>2499</v>
      </c>
      <c r="G69" s="1148"/>
    </row>
    <row r="70" spans="1:11" ht="14.25">
      <c r="A70" s="1169">
        <v>49</v>
      </c>
      <c r="B70" s="1170" t="s">
        <v>2901</v>
      </c>
      <c r="C70" s="1171" t="s">
        <v>1565</v>
      </c>
      <c r="D70" s="1172">
        <f>(0.3/1000)*7850*30.77</f>
        <v>72.46335</v>
      </c>
      <c r="E70" s="1173">
        <f t="shared" si="5"/>
        <v>83.3328525</v>
      </c>
      <c r="F70" s="1174" t="s">
        <v>2499</v>
      </c>
      <c r="G70" s="1158"/>
      <c r="H70" s="1126"/>
      <c r="I70" s="1127"/>
      <c r="J70" s="1127"/>
      <c r="K70" s="1127"/>
    </row>
    <row r="71" spans="1:11" ht="14.25">
      <c r="A71" s="1169">
        <v>50</v>
      </c>
      <c r="B71" s="1170" t="s">
        <v>2902</v>
      </c>
      <c r="C71" s="1171" t="s">
        <v>1565</v>
      </c>
      <c r="D71" s="1172">
        <f>D70*35/30</f>
        <v>84.540575</v>
      </c>
      <c r="E71" s="1173">
        <f t="shared" si="5"/>
        <v>97.22166125</v>
      </c>
      <c r="F71" s="1174" t="s">
        <v>2499</v>
      </c>
      <c r="G71" s="1158"/>
      <c r="I71" s="1127"/>
      <c r="J71" s="1127"/>
      <c r="K71" s="1127"/>
    </row>
    <row r="72" spans="1:11" ht="14.25">
      <c r="A72" s="1169">
        <v>51</v>
      </c>
      <c r="B72" s="1170" t="s">
        <v>2903</v>
      </c>
      <c r="C72" s="1171" t="s">
        <v>1565</v>
      </c>
      <c r="D72" s="1172">
        <f>D70*40/30</f>
        <v>96.6178</v>
      </c>
      <c r="E72" s="1173">
        <f t="shared" si="5"/>
        <v>111.11046999999999</v>
      </c>
      <c r="F72" s="1174" t="s">
        <v>2499</v>
      </c>
      <c r="G72" s="1158"/>
      <c r="I72" s="1127"/>
      <c r="J72" s="1127"/>
      <c r="K72" s="1127"/>
    </row>
    <row r="73" spans="1:11" ht="14.25">
      <c r="A73" s="1169">
        <v>52</v>
      </c>
      <c r="B73" s="1170" t="s">
        <v>61</v>
      </c>
      <c r="C73" s="1171" t="s">
        <v>1565</v>
      </c>
      <c r="D73" s="1172">
        <f>D70*50/30</f>
        <v>120.77225000000001</v>
      </c>
      <c r="E73" s="1173">
        <f t="shared" si="5"/>
        <v>138.8880875</v>
      </c>
      <c r="F73" s="1174" t="s">
        <v>2499</v>
      </c>
      <c r="G73" s="1158"/>
      <c r="I73" s="1127"/>
      <c r="J73" s="1127"/>
      <c r="K73" s="1127"/>
    </row>
    <row r="74" spans="1:11" ht="14.25">
      <c r="A74" s="1169">
        <v>53</v>
      </c>
      <c r="B74" s="1170" t="s">
        <v>62</v>
      </c>
      <c r="C74" s="1171" t="s">
        <v>1565</v>
      </c>
      <c r="D74" s="1172">
        <f>D70*60/30</f>
        <v>144.9267</v>
      </c>
      <c r="E74" s="1173">
        <f t="shared" si="5"/>
        <v>166.665705</v>
      </c>
      <c r="F74" s="1174" t="s">
        <v>2499</v>
      </c>
      <c r="G74" s="1158"/>
      <c r="I74" s="1127"/>
      <c r="J74" s="1127"/>
      <c r="K74" s="1127"/>
    </row>
    <row r="75" spans="1:11" ht="15">
      <c r="A75" s="1169">
        <v>54</v>
      </c>
      <c r="B75" s="1170" t="s">
        <v>63</v>
      </c>
      <c r="C75" s="1171" t="s">
        <v>1565</v>
      </c>
      <c r="D75" s="1172">
        <f>D70*70/30</f>
        <v>169.08115</v>
      </c>
      <c r="E75" s="1173">
        <f t="shared" si="5"/>
        <v>194.4433225</v>
      </c>
      <c r="F75" s="1174" t="s">
        <v>2499</v>
      </c>
      <c r="G75" s="1158"/>
      <c r="K75" s="1128"/>
    </row>
    <row r="76" spans="1:7" ht="14.25">
      <c r="A76" s="1169">
        <v>55</v>
      </c>
      <c r="B76" s="1170" t="s">
        <v>1613</v>
      </c>
      <c r="C76" s="1171" t="s">
        <v>1565</v>
      </c>
      <c r="D76" s="1172">
        <f>D70*80/30</f>
        <v>193.2356</v>
      </c>
      <c r="E76" s="1173">
        <f t="shared" si="5"/>
        <v>222.22093999999998</v>
      </c>
      <c r="F76" s="1174" t="s">
        <v>2499</v>
      </c>
      <c r="G76" s="1158"/>
    </row>
    <row r="77" spans="1:7" ht="14.25">
      <c r="A77" s="1169">
        <v>56</v>
      </c>
      <c r="B77" s="1170" t="s">
        <v>1614</v>
      </c>
      <c r="C77" s="1171" t="s">
        <v>1565</v>
      </c>
      <c r="D77" s="1172">
        <f>D70*100/30</f>
        <v>241.54450000000003</v>
      </c>
      <c r="E77" s="1173">
        <f t="shared" si="5"/>
        <v>277.776175</v>
      </c>
      <c r="F77" s="1174" t="s">
        <v>2499</v>
      </c>
      <c r="G77" s="1158"/>
    </row>
    <row r="78" spans="1:11" ht="14.25">
      <c r="A78" s="1169">
        <v>57</v>
      </c>
      <c r="B78" s="1170" t="s">
        <v>2059</v>
      </c>
      <c r="C78" s="1171" t="s">
        <v>1565</v>
      </c>
      <c r="D78" s="1172">
        <f>(0.3/1000)*7850*30.77</f>
        <v>72.46335</v>
      </c>
      <c r="E78" s="1173">
        <f t="shared" si="5"/>
        <v>83.3328525</v>
      </c>
      <c r="F78" s="1174" t="s">
        <v>2499</v>
      </c>
      <c r="G78" s="1158"/>
      <c r="H78" s="1126"/>
      <c r="I78" s="1127"/>
      <c r="J78" s="1127"/>
      <c r="K78" s="1127"/>
    </row>
    <row r="79" spans="1:11" ht="14.25">
      <c r="A79" s="1169">
        <v>58</v>
      </c>
      <c r="B79" s="1170" t="s">
        <v>1615</v>
      </c>
      <c r="C79" s="1171" t="s">
        <v>1565</v>
      </c>
      <c r="D79" s="1172">
        <f>D78*35/30</f>
        <v>84.540575</v>
      </c>
      <c r="E79" s="1173">
        <f t="shared" si="5"/>
        <v>97.22166125</v>
      </c>
      <c r="F79" s="1174" t="s">
        <v>2499</v>
      </c>
      <c r="G79" s="1158"/>
      <c r="I79" s="1127"/>
      <c r="J79" s="1127"/>
      <c r="K79" s="1127"/>
    </row>
    <row r="80" spans="1:11" ht="14.25">
      <c r="A80" s="1169">
        <v>59</v>
      </c>
      <c r="B80" s="1170" t="s">
        <v>1616</v>
      </c>
      <c r="C80" s="1171" t="s">
        <v>1565</v>
      </c>
      <c r="D80" s="1172">
        <f>D78*40/30</f>
        <v>96.6178</v>
      </c>
      <c r="E80" s="1173">
        <f t="shared" si="5"/>
        <v>111.11046999999999</v>
      </c>
      <c r="F80" s="1174" t="s">
        <v>2499</v>
      </c>
      <c r="G80" s="1158"/>
      <c r="I80" s="1127"/>
      <c r="J80" s="1127"/>
      <c r="K80" s="1127"/>
    </row>
    <row r="81" spans="1:11" ht="14.25">
      <c r="A81" s="1169">
        <v>60</v>
      </c>
      <c r="B81" s="1170" t="s">
        <v>1617</v>
      </c>
      <c r="C81" s="1171" t="s">
        <v>1565</v>
      </c>
      <c r="D81" s="1172">
        <f>D78*50/30</f>
        <v>120.77225000000001</v>
      </c>
      <c r="E81" s="1173">
        <f t="shared" si="5"/>
        <v>138.8880875</v>
      </c>
      <c r="F81" s="1174" t="s">
        <v>2499</v>
      </c>
      <c r="G81" s="1158"/>
      <c r="I81" s="1127"/>
      <c r="J81" s="1127"/>
      <c r="K81" s="1127"/>
    </row>
    <row r="82" spans="1:11" ht="14.25">
      <c r="A82" s="1169">
        <v>61</v>
      </c>
      <c r="B82" s="1170" t="s">
        <v>1618</v>
      </c>
      <c r="C82" s="1171" t="s">
        <v>1565</v>
      </c>
      <c r="D82" s="1172">
        <f>D78*60/30</f>
        <v>144.9267</v>
      </c>
      <c r="E82" s="1173">
        <f t="shared" si="5"/>
        <v>166.665705</v>
      </c>
      <c r="F82" s="1174" t="s">
        <v>2499</v>
      </c>
      <c r="G82" s="1158"/>
      <c r="I82" s="1127"/>
      <c r="J82" s="1127"/>
      <c r="K82" s="1127"/>
    </row>
    <row r="83" spans="1:11" ht="15">
      <c r="A83" s="1169">
        <v>62</v>
      </c>
      <c r="B83" s="1170" t="s">
        <v>1619</v>
      </c>
      <c r="C83" s="1171" t="s">
        <v>1565</v>
      </c>
      <c r="D83" s="1172">
        <f>D78*70/30</f>
        <v>169.08115</v>
      </c>
      <c r="E83" s="1173">
        <f t="shared" si="5"/>
        <v>194.4433225</v>
      </c>
      <c r="F83" s="1174" t="s">
        <v>2499</v>
      </c>
      <c r="G83" s="1158"/>
      <c r="K83" s="1128"/>
    </row>
    <row r="84" spans="1:7" ht="14.25">
      <c r="A84" s="1169">
        <v>63</v>
      </c>
      <c r="B84" s="1170" t="s">
        <v>1620</v>
      </c>
      <c r="C84" s="1171" t="s">
        <v>1565</v>
      </c>
      <c r="D84" s="1172">
        <f>D78*80/30</f>
        <v>193.2356</v>
      </c>
      <c r="E84" s="1173">
        <f t="shared" si="5"/>
        <v>222.22093999999998</v>
      </c>
      <c r="F84" s="1174" t="s">
        <v>2499</v>
      </c>
      <c r="G84" s="1158"/>
    </row>
    <row r="85" spans="1:7" ht="14.25">
      <c r="A85" s="1169">
        <v>64</v>
      </c>
      <c r="B85" s="1170" t="s">
        <v>1621</v>
      </c>
      <c r="C85" s="1171" t="s">
        <v>1565</v>
      </c>
      <c r="D85" s="1172">
        <f>D78*100/30</f>
        <v>241.54450000000003</v>
      </c>
      <c r="E85" s="1173">
        <f t="shared" si="5"/>
        <v>277.776175</v>
      </c>
      <c r="F85" s="1174" t="s">
        <v>2499</v>
      </c>
      <c r="G85" s="1158"/>
    </row>
    <row r="86" spans="1:11" ht="14.25">
      <c r="A86" s="1169">
        <v>65</v>
      </c>
      <c r="B86" s="1170" t="s">
        <v>2060</v>
      </c>
      <c r="C86" s="1171" t="s">
        <v>1565</v>
      </c>
      <c r="D86" s="1172">
        <f>(0.3/1000)*7850*30.77</f>
        <v>72.46335</v>
      </c>
      <c r="E86" s="1173">
        <f t="shared" si="5"/>
        <v>83.3328525</v>
      </c>
      <c r="F86" s="1174" t="s">
        <v>2499</v>
      </c>
      <c r="G86" s="1158"/>
      <c r="H86" s="1126"/>
      <c r="I86" s="1127"/>
      <c r="J86" s="1127"/>
      <c r="K86" s="1127"/>
    </row>
    <row r="87" spans="1:11" ht="14.25">
      <c r="A87" s="1169">
        <v>66</v>
      </c>
      <c r="B87" s="1170" t="s">
        <v>1622</v>
      </c>
      <c r="C87" s="1171" t="s">
        <v>1565</v>
      </c>
      <c r="D87" s="1172">
        <f>D86*35/30</f>
        <v>84.540575</v>
      </c>
      <c r="E87" s="1173">
        <f t="shared" si="5"/>
        <v>97.22166125</v>
      </c>
      <c r="F87" s="1174" t="s">
        <v>2499</v>
      </c>
      <c r="G87" s="1158"/>
      <c r="I87" s="1127"/>
      <c r="J87" s="1127"/>
      <c r="K87" s="1127"/>
    </row>
    <row r="88" spans="1:11" ht="14.25">
      <c r="A88" s="1169">
        <v>67</v>
      </c>
      <c r="B88" s="1170" t="s">
        <v>1623</v>
      </c>
      <c r="C88" s="1171" t="s">
        <v>1565</v>
      </c>
      <c r="D88" s="1172">
        <f>D86*40/30</f>
        <v>96.6178</v>
      </c>
      <c r="E88" s="1173">
        <f t="shared" si="5"/>
        <v>111.11046999999999</v>
      </c>
      <c r="F88" s="1174" t="s">
        <v>2499</v>
      </c>
      <c r="G88" s="1158"/>
      <c r="I88" s="1127"/>
      <c r="J88" s="1127"/>
      <c r="K88" s="1127"/>
    </row>
    <row r="89" spans="1:11" ht="14.25">
      <c r="A89" s="1169">
        <v>68</v>
      </c>
      <c r="B89" s="1170" t="s">
        <v>1624</v>
      </c>
      <c r="C89" s="1171" t="s">
        <v>1565</v>
      </c>
      <c r="D89" s="1172">
        <f>D86*50/30</f>
        <v>120.77225000000001</v>
      </c>
      <c r="E89" s="1173">
        <f t="shared" si="5"/>
        <v>138.8880875</v>
      </c>
      <c r="F89" s="1174" t="s">
        <v>2499</v>
      </c>
      <c r="G89" s="1158"/>
      <c r="I89" s="1127"/>
      <c r="J89" s="1127"/>
      <c r="K89" s="1127"/>
    </row>
    <row r="90" spans="1:11" ht="14.25">
      <c r="A90" s="1169">
        <v>69</v>
      </c>
      <c r="B90" s="1170" t="s">
        <v>1625</v>
      </c>
      <c r="C90" s="1171" t="s">
        <v>1565</v>
      </c>
      <c r="D90" s="1172">
        <f>D86*60/30</f>
        <v>144.9267</v>
      </c>
      <c r="E90" s="1173">
        <f t="shared" si="5"/>
        <v>166.665705</v>
      </c>
      <c r="F90" s="1174" t="s">
        <v>2499</v>
      </c>
      <c r="G90" s="1158"/>
      <c r="I90" s="1127"/>
      <c r="J90" s="1127"/>
      <c r="K90" s="1127"/>
    </row>
    <row r="91" spans="1:11" ht="16.5">
      <c r="A91" s="1169">
        <v>70</v>
      </c>
      <c r="B91" s="1170" t="s">
        <v>1626</v>
      </c>
      <c r="C91" s="1171" t="s">
        <v>1565</v>
      </c>
      <c r="D91" s="1172">
        <f>D86*70/30</f>
        <v>169.08115</v>
      </c>
      <c r="E91" s="1173">
        <f t="shared" si="5"/>
        <v>194.4433225</v>
      </c>
      <c r="F91" s="1174" t="s">
        <v>2499</v>
      </c>
      <c r="G91" s="1158"/>
      <c r="K91" s="1128"/>
    </row>
    <row r="92" spans="1:7" ht="14.25">
      <c r="A92" s="1169">
        <v>71</v>
      </c>
      <c r="B92" s="1170" t="s">
        <v>2057</v>
      </c>
      <c r="C92" s="1171" t="s">
        <v>1565</v>
      </c>
      <c r="D92" s="1172">
        <f>D86*80/30</f>
        <v>193.2356</v>
      </c>
      <c r="E92" s="1173">
        <f t="shared" si="5"/>
        <v>222.22093999999998</v>
      </c>
      <c r="F92" s="1174" t="s">
        <v>2499</v>
      </c>
      <c r="G92" s="1158"/>
    </row>
    <row r="93" spans="1:7" ht="14.25">
      <c r="A93" s="1169">
        <v>72</v>
      </c>
      <c r="B93" s="1170" t="s">
        <v>2058</v>
      </c>
      <c r="C93" s="1171" t="s">
        <v>1565</v>
      </c>
      <c r="D93" s="1172">
        <f>D86*100/30</f>
        <v>241.54450000000003</v>
      </c>
      <c r="E93" s="1173">
        <f t="shared" si="5"/>
        <v>277.776175</v>
      </c>
      <c r="F93" s="1174" t="s">
        <v>2499</v>
      </c>
      <c r="G93" s="1158"/>
    </row>
    <row r="94" spans="1:7" ht="12.75">
      <c r="A94" s="1163">
        <v>73</v>
      </c>
      <c r="B94" s="1164" t="s">
        <v>1032</v>
      </c>
      <c r="C94" s="1165" t="s">
        <v>86</v>
      </c>
      <c r="D94" s="1166">
        <v>21.9</v>
      </c>
      <c r="E94" s="1167">
        <f>D94*1.15</f>
        <v>25.184999999999995</v>
      </c>
      <c r="F94" s="1168" t="s">
        <v>2499</v>
      </c>
      <c r="G94" s="1175"/>
    </row>
    <row r="95" spans="1:7" ht="12.75">
      <c r="A95" s="1112">
        <v>74</v>
      </c>
      <c r="B95" s="1120" t="s">
        <v>791</v>
      </c>
      <c r="C95" s="875"/>
      <c r="D95" s="1114"/>
      <c r="E95" s="1115"/>
      <c r="F95" s="875"/>
      <c r="G95" s="1116"/>
    </row>
    <row r="96" spans="1:7" ht="12.75">
      <c r="A96" s="1143"/>
      <c r="B96" s="1144" t="s">
        <v>1033</v>
      </c>
      <c r="C96" s="1145" t="s">
        <v>3099</v>
      </c>
      <c r="D96" s="1149">
        <v>20.35</v>
      </c>
      <c r="E96" s="1147">
        <f>D96*1.15</f>
        <v>23.4025</v>
      </c>
      <c r="F96" s="1144" t="s">
        <v>1034</v>
      </c>
      <c r="G96" s="1148"/>
    </row>
    <row r="97" spans="1:7" ht="12.75">
      <c r="A97" s="1163"/>
      <c r="B97" s="1164" t="s">
        <v>1035</v>
      </c>
      <c r="C97" s="1165" t="s">
        <v>3099</v>
      </c>
      <c r="D97" s="1166">
        <v>19.48</v>
      </c>
      <c r="E97" s="1167">
        <f>D97*1.15</f>
        <v>22.401999999999997</v>
      </c>
      <c r="F97" s="1168" t="s">
        <v>1034</v>
      </c>
      <c r="G97" s="1148"/>
    </row>
    <row r="98" spans="1:7" ht="12.75">
      <c r="A98" s="1143"/>
      <c r="B98" s="1144" t="s">
        <v>1142</v>
      </c>
      <c r="C98" s="1145" t="s">
        <v>3099</v>
      </c>
      <c r="D98" s="1149">
        <v>47.22</v>
      </c>
      <c r="E98" s="1147">
        <f>D98*1.15</f>
        <v>54.303</v>
      </c>
      <c r="F98" s="1168" t="s">
        <v>1034</v>
      </c>
      <c r="G98" s="1148"/>
    </row>
    <row r="99" spans="1:7" ht="12.75">
      <c r="A99" s="1143">
        <v>75</v>
      </c>
      <c r="B99" s="1144" t="s">
        <v>1211</v>
      </c>
      <c r="C99" s="1145" t="s">
        <v>3098</v>
      </c>
      <c r="D99" s="1149">
        <v>120</v>
      </c>
      <c r="E99" s="1147">
        <f>D99*1.15</f>
        <v>138</v>
      </c>
      <c r="F99" s="1144" t="s">
        <v>1036</v>
      </c>
      <c r="G99" s="1148"/>
    </row>
    <row r="100" spans="1:7" ht="25.5">
      <c r="A100" s="1143">
        <v>76</v>
      </c>
      <c r="B100" s="1144" t="s">
        <v>1037</v>
      </c>
      <c r="C100" s="1145" t="s">
        <v>1567</v>
      </c>
      <c r="D100" s="1149">
        <f>200/(4*0.025*0.3)</f>
        <v>6666.666666666667</v>
      </c>
      <c r="E100" s="1147">
        <f>D100*1.15</f>
        <v>7666.666666666666</v>
      </c>
      <c r="F100" s="1176" t="s">
        <v>394</v>
      </c>
      <c r="G100" s="1177"/>
    </row>
    <row r="101" spans="1:7" ht="12.75">
      <c r="A101" s="1112"/>
      <c r="B101" s="1120" t="s">
        <v>1038</v>
      </c>
      <c r="C101" s="1113"/>
      <c r="D101" s="1114"/>
      <c r="E101" s="1115"/>
      <c r="F101" s="875"/>
      <c r="G101" s="1116"/>
    </row>
    <row r="102" spans="1:7" ht="14.25">
      <c r="A102" s="1112">
        <v>77</v>
      </c>
      <c r="B102" s="875" t="s">
        <v>1039</v>
      </c>
      <c r="C102" s="1113" t="s">
        <v>1565</v>
      </c>
      <c r="D102" s="1114">
        <v>100</v>
      </c>
      <c r="E102" s="1115">
        <f>D102*1.15</f>
        <v>114.99999999999999</v>
      </c>
      <c r="F102" s="875" t="s">
        <v>1040</v>
      </c>
      <c r="G102" s="1116"/>
    </row>
    <row r="103" spans="1:7" ht="14.25">
      <c r="A103" s="1112">
        <v>78</v>
      </c>
      <c r="B103" s="875" t="s">
        <v>330</v>
      </c>
      <c r="C103" s="1113" t="s">
        <v>1565</v>
      </c>
      <c r="D103" s="1114">
        <v>100</v>
      </c>
      <c r="E103" s="1115">
        <f>D103*1.15</f>
        <v>114.99999999999999</v>
      </c>
      <c r="F103" s="875" t="s">
        <v>1040</v>
      </c>
      <c r="G103" s="1116"/>
    </row>
    <row r="104" spans="1:7" ht="14.25">
      <c r="A104" s="1112">
        <v>79</v>
      </c>
      <c r="B104" s="875" t="s">
        <v>331</v>
      </c>
      <c r="C104" s="1113" t="s">
        <v>1565</v>
      </c>
      <c r="D104" s="875"/>
      <c r="E104" s="1115"/>
      <c r="F104" s="875"/>
      <c r="G104" s="1116"/>
    </row>
    <row r="105" spans="1:7" ht="14.25">
      <c r="A105" s="1112">
        <v>80</v>
      </c>
      <c r="B105" s="875" t="s">
        <v>332</v>
      </c>
      <c r="C105" s="1113" t="s">
        <v>1565</v>
      </c>
      <c r="D105" s="875"/>
      <c r="E105" s="1115"/>
      <c r="F105" s="875"/>
      <c r="G105" s="1116"/>
    </row>
    <row r="106" spans="1:7" ht="14.25">
      <c r="A106" s="1112">
        <v>81</v>
      </c>
      <c r="B106" s="875" t="s">
        <v>333</v>
      </c>
      <c r="C106" s="1113" t="s">
        <v>1565</v>
      </c>
      <c r="D106" s="875"/>
      <c r="E106" s="1115"/>
      <c r="F106" s="875"/>
      <c r="G106" s="1116"/>
    </row>
    <row r="107" spans="1:7" ht="14.25">
      <c r="A107" s="1112">
        <v>82</v>
      </c>
      <c r="B107" s="875" t="s">
        <v>334</v>
      </c>
      <c r="C107" s="1113" t="s">
        <v>1565</v>
      </c>
      <c r="D107" s="875"/>
      <c r="E107" s="1115"/>
      <c r="F107" s="875"/>
      <c r="G107" s="1116"/>
    </row>
    <row r="108" spans="1:7" ht="14.25">
      <c r="A108" s="1112">
        <v>83</v>
      </c>
      <c r="B108" s="875" t="s">
        <v>335</v>
      </c>
      <c r="C108" s="1113" t="s">
        <v>1565</v>
      </c>
      <c r="D108" s="1114"/>
      <c r="E108" s="1115"/>
      <c r="F108" s="875"/>
      <c r="G108" s="1116"/>
    </row>
    <row r="109" spans="1:7" ht="14.25">
      <c r="A109" s="1143">
        <v>84</v>
      </c>
      <c r="B109" s="1178" t="s">
        <v>376</v>
      </c>
      <c r="C109" s="1145" t="s">
        <v>1565</v>
      </c>
      <c r="D109" s="1149">
        <v>188</v>
      </c>
      <c r="E109" s="1147"/>
      <c r="F109" s="1178" t="s">
        <v>381</v>
      </c>
      <c r="G109" s="1177"/>
    </row>
    <row r="110" spans="1:7" ht="14.25">
      <c r="A110" s="1143">
        <v>85</v>
      </c>
      <c r="B110" s="1178" t="s">
        <v>419</v>
      </c>
      <c r="C110" s="1145" t="s">
        <v>1565</v>
      </c>
      <c r="D110" s="1149">
        <v>188</v>
      </c>
      <c r="E110" s="1147"/>
      <c r="F110" s="1178" t="s">
        <v>381</v>
      </c>
      <c r="G110" s="1177"/>
    </row>
    <row r="111" spans="1:7" s="419" customFormat="1" ht="14.25">
      <c r="A111" s="1194">
        <v>86</v>
      </c>
      <c r="B111" s="1195" t="s">
        <v>377</v>
      </c>
      <c r="C111" s="1196" t="s">
        <v>1565</v>
      </c>
      <c r="D111" s="1197">
        <v>174</v>
      </c>
      <c r="E111" s="1198"/>
      <c r="F111" s="1195" t="s">
        <v>381</v>
      </c>
      <c r="G111" s="1199"/>
    </row>
    <row r="112" spans="1:7" ht="14.25">
      <c r="A112" s="1143">
        <v>87</v>
      </c>
      <c r="B112" s="1178" t="s">
        <v>378</v>
      </c>
      <c r="C112" s="1145" t="s">
        <v>1565</v>
      </c>
      <c r="D112" s="1149">
        <v>154</v>
      </c>
      <c r="E112" s="1147"/>
      <c r="F112" s="1178" t="s">
        <v>381</v>
      </c>
      <c r="G112" s="1177"/>
    </row>
    <row r="113" spans="1:7" ht="14.25">
      <c r="A113" s="1143">
        <v>88</v>
      </c>
      <c r="B113" s="1178" t="s">
        <v>379</v>
      </c>
      <c r="C113" s="1145" t="s">
        <v>1565</v>
      </c>
      <c r="D113" s="1149">
        <v>172</v>
      </c>
      <c r="E113" s="1147"/>
      <c r="F113" s="1178" t="s">
        <v>381</v>
      </c>
      <c r="G113" s="1177"/>
    </row>
    <row r="114" spans="1:7" ht="14.25">
      <c r="A114" s="1143">
        <v>89</v>
      </c>
      <c r="B114" s="1178" t="s">
        <v>380</v>
      </c>
      <c r="C114" s="1145" t="s">
        <v>1565</v>
      </c>
      <c r="D114" s="1149">
        <v>163</v>
      </c>
      <c r="E114" s="1147"/>
      <c r="F114" s="1178" t="s">
        <v>381</v>
      </c>
      <c r="G114" s="1177"/>
    </row>
    <row r="115" spans="1:7" ht="12.75">
      <c r="A115" s="1112"/>
      <c r="B115" s="1120" t="s">
        <v>980</v>
      </c>
      <c r="C115" s="1113"/>
      <c r="D115" s="1114"/>
      <c r="E115" s="1115"/>
      <c r="F115" s="875"/>
      <c r="G115" s="1116"/>
    </row>
    <row r="116" spans="1:7" ht="14.25">
      <c r="A116" s="1143">
        <v>84</v>
      </c>
      <c r="B116" s="1150" t="s">
        <v>420</v>
      </c>
      <c r="C116" s="1145" t="s">
        <v>1565</v>
      </c>
      <c r="D116" s="1149">
        <f>95+0.5</f>
        <v>95.5</v>
      </c>
      <c r="E116" s="1147">
        <f aca="true" t="shared" si="6" ref="E116:E123">D116*1.15</f>
        <v>109.82499999999999</v>
      </c>
      <c r="F116" s="1144" t="s">
        <v>336</v>
      </c>
      <c r="G116" s="1148"/>
    </row>
    <row r="117" spans="1:7" ht="14.25">
      <c r="A117" s="1112">
        <v>85</v>
      </c>
      <c r="B117" s="1117" t="s">
        <v>421</v>
      </c>
      <c r="C117" s="1113" t="s">
        <v>1565</v>
      </c>
      <c r="D117" s="1114">
        <v>54.9</v>
      </c>
      <c r="E117" s="1115">
        <f t="shared" si="6"/>
        <v>63.13499999999999</v>
      </c>
      <c r="F117" s="875" t="s">
        <v>1023</v>
      </c>
      <c r="G117" s="1116"/>
    </row>
    <row r="118" spans="1:7" ht="14.25">
      <c r="A118" s="1143">
        <v>86</v>
      </c>
      <c r="B118" s="1150" t="s">
        <v>422</v>
      </c>
      <c r="C118" s="1145" t="s">
        <v>1565</v>
      </c>
      <c r="D118" s="1149">
        <v>182.6</v>
      </c>
      <c r="E118" s="1147">
        <f t="shared" si="6"/>
        <v>209.98999999999998</v>
      </c>
      <c r="F118" s="1144" t="s">
        <v>425</v>
      </c>
      <c r="G118" s="1177"/>
    </row>
    <row r="119" spans="1:7" ht="14.25">
      <c r="A119" s="1112">
        <v>87</v>
      </c>
      <c r="B119" s="1117" t="s">
        <v>423</v>
      </c>
      <c r="C119" s="1113" t="s">
        <v>1565</v>
      </c>
      <c r="D119" s="1114">
        <v>74.44</v>
      </c>
      <c r="E119" s="1115">
        <f t="shared" si="6"/>
        <v>85.606</v>
      </c>
      <c r="F119" s="875" t="s">
        <v>1023</v>
      </c>
      <c r="G119" s="1116"/>
    </row>
    <row r="120" spans="1:7" ht="14.25">
      <c r="A120" s="1112">
        <v>88</v>
      </c>
      <c r="B120" s="1117" t="s">
        <v>424</v>
      </c>
      <c r="C120" s="1113" t="s">
        <v>1565</v>
      </c>
      <c r="D120" s="1114">
        <v>80</v>
      </c>
      <c r="E120" s="1115">
        <f t="shared" si="6"/>
        <v>92</v>
      </c>
      <c r="F120" s="875" t="s">
        <v>1023</v>
      </c>
      <c r="G120" s="1116"/>
    </row>
    <row r="121" spans="1:12" ht="25.5">
      <c r="A121" s="1143">
        <v>89</v>
      </c>
      <c r="B121" s="1159" t="s">
        <v>426</v>
      </c>
      <c r="C121" s="1145" t="s">
        <v>1565</v>
      </c>
      <c r="D121" s="1149">
        <v>191.3</v>
      </c>
      <c r="E121" s="1183">
        <f t="shared" si="6"/>
        <v>219.995</v>
      </c>
      <c r="F121" s="1184" t="s">
        <v>425</v>
      </c>
      <c r="G121" s="1178"/>
      <c r="H121" s="1180"/>
      <c r="I121" s="1181"/>
      <c r="J121" s="1182"/>
      <c r="K121" s="419"/>
      <c r="L121" s="419"/>
    </row>
    <row r="122" spans="1:7" ht="15.75" customHeight="1">
      <c r="A122" s="1143">
        <v>90</v>
      </c>
      <c r="B122" s="1179" t="s">
        <v>427</v>
      </c>
      <c r="C122" s="1145" t="s">
        <v>1565</v>
      </c>
      <c r="D122" s="1149">
        <v>295.65</v>
      </c>
      <c r="E122" s="1147">
        <f t="shared" si="6"/>
        <v>339.99749999999995</v>
      </c>
      <c r="F122" s="1144" t="s">
        <v>425</v>
      </c>
      <c r="G122" s="1177"/>
    </row>
    <row r="123" spans="1:7" ht="14.25">
      <c r="A123" s="1143">
        <v>91</v>
      </c>
      <c r="B123" s="1178" t="s">
        <v>428</v>
      </c>
      <c r="C123" s="1145" t="s">
        <v>1565</v>
      </c>
      <c r="D123" s="1149">
        <v>295.65</v>
      </c>
      <c r="E123" s="1147">
        <f t="shared" si="6"/>
        <v>339.99749999999995</v>
      </c>
      <c r="F123" s="1144" t="s">
        <v>425</v>
      </c>
      <c r="G123" s="1177"/>
    </row>
    <row r="124" spans="1:7" ht="12.75">
      <c r="A124" s="1112"/>
      <c r="B124" s="1120" t="s">
        <v>981</v>
      </c>
      <c r="C124" s="1113"/>
      <c r="D124" s="1114"/>
      <c r="E124" s="1115"/>
      <c r="F124" s="875"/>
      <c r="G124" s="1116"/>
    </row>
    <row r="125" spans="1:7" ht="14.25">
      <c r="A125" s="1112">
        <v>92</v>
      </c>
      <c r="B125" s="1121" t="s">
        <v>982</v>
      </c>
      <c r="C125" s="1113" t="s">
        <v>1565</v>
      </c>
      <c r="D125" s="1114">
        <v>220</v>
      </c>
      <c r="E125" s="1115">
        <f>D125*1.15</f>
        <v>252.99999999999997</v>
      </c>
      <c r="F125" s="875" t="s">
        <v>1023</v>
      </c>
      <c r="G125" s="1116"/>
    </row>
    <row r="126" spans="1:7" ht="12.75">
      <c r="A126" s="1112"/>
      <c r="B126" s="1120" t="s">
        <v>2358</v>
      </c>
      <c r="C126" s="1113"/>
      <c r="D126" s="1114"/>
      <c r="E126" s="1115"/>
      <c r="F126" s="875"/>
      <c r="G126" s="1116"/>
    </row>
    <row r="127" spans="1:7" ht="12.75">
      <c r="A127" s="1185">
        <v>93</v>
      </c>
      <c r="B127" s="1186" t="s">
        <v>2162</v>
      </c>
      <c r="C127" s="1187" t="s">
        <v>2359</v>
      </c>
      <c r="D127" s="1188">
        <f>(181.3+4*(0.1+0.03))</f>
        <v>181.82000000000002</v>
      </c>
      <c r="E127" s="1189">
        <f aca="true" t="shared" si="7" ref="E127:E132">D127*1.15</f>
        <v>209.09300000000002</v>
      </c>
      <c r="F127" s="992" t="s">
        <v>429</v>
      </c>
      <c r="G127" s="1190"/>
    </row>
    <row r="128" spans="1:7" ht="12.75">
      <c r="A128" s="1185">
        <v>94</v>
      </c>
      <c r="B128" s="1186" t="s">
        <v>337</v>
      </c>
      <c r="C128" s="1187" t="s">
        <v>2359</v>
      </c>
      <c r="D128" s="1191">
        <f>(111.9+4*(0.1+0.03))</f>
        <v>112.42</v>
      </c>
      <c r="E128" s="1189">
        <f t="shared" si="7"/>
        <v>129.283</v>
      </c>
      <c r="F128" s="992" t="s">
        <v>429</v>
      </c>
      <c r="G128" s="1192"/>
    </row>
    <row r="129" spans="1:7" ht="12.75">
      <c r="A129" s="1185">
        <v>95</v>
      </c>
      <c r="B129" s="1186" t="s">
        <v>338</v>
      </c>
      <c r="C129" s="1187" t="s">
        <v>2359</v>
      </c>
      <c r="D129" s="1191">
        <f>(163.17+4*(0.1+0.03))</f>
        <v>163.69</v>
      </c>
      <c r="E129" s="1189">
        <f t="shared" si="7"/>
        <v>188.24349999999998</v>
      </c>
      <c r="F129" s="992" t="s">
        <v>429</v>
      </c>
      <c r="G129" s="1192"/>
    </row>
    <row r="130" spans="1:7" ht="12.75">
      <c r="A130" s="1185">
        <v>96</v>
      </c>
      <c r="B130" s="1186" t="s">
        <v>2360</v>
      </c>
      <c r="C130" s="1187" t="s">
        <v>3099</v>
      </c>
      <c r="D130" s="1188">
        <f>9*1.3</f>
        <v>11.700000000000001</v>
      </c>
      <c r="E130" s="1189">
        <f t="shared" si="7"/>
        <v>13.455</v>
      </c>
      <c r="F130" s="992" t="s">
        <v>1023</v>
      </c>
      <c r="G130" s="1193"/>
    </row>
    <row r="131" spans="1:7" ht="12.75">
      <c r="A131" s="1185">
        <v>97</v>
      </c>
      <c r="B131" s="1186" t="s">
        <v>205</v>
      </c>
      <c r="C131" s="1187" t="s">
        <v>2359</v>
      </c>
      <c r="D131" s="1188">
        <f>(168+4*(0.1+0.03))</f>
        <v>168.52</v>
      </c>
      <c r="E131" s="1189">
        <f t="shared" si="7"/>
        <v>193.798</v>
      </c>
      <c r="F131" s="992" t="s">
        <v>429</v>
      </c>
      <c r="G131" s="1193"/>
    </row>
    <row r="132" spans="1:7" ht="12.75">
      <c r="A132" s="1185">
        <v>98</v>
      </c>
      <c r="B132" s="1186" t="s">
        <v>1041</v>
      </c>
      <c r="C132" s="1187" t="s">
        <v>2359</v>
      </c>
      <c r="D132" s="1188">
        <f>(172+4*(0.1+0.03))</f>
        <v>172.52</v>
      </c>
      <c r="E132" s="1189">
        <f t="shared" si="7"/>
        <v>198.398</v>
      </c>
      <c r="F132" s="992" t="s">
        <v>430</v>
      </c>
      <c r="G132" s="1193"/>
    </row>
    <row r="133" spans="1:7" ht="12.75">
      <c r="A133" s="1112"/>
      <c r="B133" s="1123" t="s">
        <v>2361</v>
      </c>
      <c r="C133" s="1113"/>
      <c r="D133" s="1114"/>
      <c r="E133" s="1115"/>
      <c r="F133" s="875"/>
      <c r="G133" s="1116"/>
    </row>
    <row r="134" spans="1:7" ht="38.25" customHeight="1">
      <c r="A134" s="1185">
        <v>99</v>
      </c>
      <c r="B134" s="1200" t="s">
        <v>431</v>
      </c>
      <c r="C134" s="1187" t="s">
        <v>3098</v>
      </c>
      <c r="D134" s="1188">
        <f>11.92+0.07</f>
        <v>11.99</v>
      </c>
      <c r="E134" s="1189">
        <f>D134*1.15</f>
        <v>13.788499999999999</v>
      </c>
      <c r="F134" s="1201" t="s">
        <v>432</v>
      </c>
      <c r="G134" s="1193"/>
    </row>
    <row r="135" spans="1:7" ht="12.75">
      <c r="A135" s="1185">
        <v>100</v>
      </c>
      <c r="B135" s="1186" t="s">
        <v>2362</v>
      </c>
      <c r="C135" s="1187" t="s">
        <v>3098</v>
      </c>
      <c r="D135" s="1188">
        <f>7.61+0.07</f>
        <v>7.680000000000001</v>
      </c>
      <c r="E135" s="1189">
        <f>D135*1.15</f>
        <v>8.832</v>
      </c>
      <c r="F135" s="992" t="s">
        <v>2935</v>
      </c>
      <c r="G135" s="1193"/>
    </row>
    <row r="136" spans="1:7" ht="12.75">
      <c r="A136" s="1185">
        <v>101</v>
      </c>
      <c r="B136" s="1186" t="s">
        <v>2363</v>
      </c>
      <c r="C136" s="1187" t="s">
        <v>3098</v>
      </c>
      <c r="D136" s="1188">
        <f>5.56+0.07</f>
        <v>5.63</v>
      </c>
      <c r="E136" s="1189">
        <f>D136*1.15</f>
        <v>6.474499999999999</v>
      </c>
      <c r="F136" s="992" t="s">
        <v>2935</v>
      </c>
      <c r="G136" s="1193"/>
    </row>
    <row r="137" spans="1:7" ht="12.75">
      <c r="A137" s="1112">
        <v>102</v>
      </c>
      <c r="B137" s="1122" t="s">
        <v>339</v>
      </c>
      <c r="C137" s="1113" t="s">
        <v>3098</v>
      </c>
      <c r="D137" s="1114">
        <f>1.1*1.5</f>
        <v>1.6500000000000001</v>
      </c>
      <c r="E137" s="1115">
        <f>D137*1.15</f>
        <v>1.8975</v>
      </c>
      <c r="F137" s="875" t="s">
        <v>2161</v>
      </c>
      <c r="G137" s="1116"/>
    </row>
    <row r="138" spans="1:7" ht="14.25">
      <c r="A138" s="1112">
        <v>103</v>
      </c>
      <c r="B138" s="1117" t="s">
        <v>2364</v>
      </c>
      <c r="C138" s="1113" t="s">
        <v>1567</v>
      </c>
      <c r="D138" s="1114">
        <v>143.75</v>
      </c>
      <c r="E138" s="1115">
        <f>D138*1.15</f>
        <v>165.3125</v>
      </c>
      <c r="F138" s="875" t="s">
        <v>1023</v>
      </c>
      <c r="G138" s="1116"/>
    </row>
    <row r="139" spans="1:7" ht="12.75">
      <c r="A139" s="1112"/>
      <c r="B139" s="1120" t="s">
        <v>2366</v>
      </c>
      <c r="C139" s="1113"/>
      <c r="D139" s="1114"/>
      <c r="E139" s="1115"/>
      <c r="F139" s="875"/>
      <c r="G139" s="1116"/>
    </row>
    <row r="140" spans="1:7" ht="29.25" customHeight="1">
      <c r="A140" s="1185">
        <v>104</v>
      </c>
      <c r="B140" s="1200" t="s">
        <v>2163</v>
      </c>
      <c r="C140" s="1187" t="s">
        <v>1565</v>
      </c>
      <c r="D140" s="1191">
        <f>(86+1+0.05)</f>
        <v>87.05</v>
      </c>
      <c r="E140" s="1189">
        <f>D140*1.15</f>
        <v>100.10749999999999</v>
      </c>
      <c r="F140" s="1201" t="s">
        <v>432</v>
      </c>
      <c r="G140" s="1202"/>
    </row>
    <row r="141" spans="1:7" ht="28.5" customHeight="1">
      <c r="A141" s="1185">
        <v>105</v>
      </c>
      <c r="B141" s="1200" t="s">
        <v>2164</v>
      </c>
      <c r="C141" s="1187" t="s">
        <v>1565</v>
      </c>
      <c r="D141" s="1188">
        <f>(93+1+0.05)</f>
        <v>94.05</v>
      </c>
      <c r="E141" s="1189">
        <f>D141*1.15</f>
        <v>108.15749999999998</v>
      </c>
      <c r="F141" s="1201" t="s">
        <v>432</v>
      </c>
      <c r="G141" s="1202"/>
    </row>
    <row r="142" spans="1:7" ht="14.25">
      <c r="A142" s="1185">
        <v>106</v>
      </c>
      <c r="B142" s="1200" t="s">
        <v>2367</v>
      </c>
      <c r="C142" s="1187" t="s">
        <v>1565</v>
      </c>
      <c r="D142" s="1188">
        <v>74.82</v>
      </c>
      <c r="E142" s="1189">
        <f>D142*1.15</f>
        <v>86.04299999999999</v>
      </c>
      <c r="F142" s="992" t="s">
        <v>2935</v>
      </c>
      <c r="G142" s="1193"/>
    </row>
    <row r="143" spans="1:7" ht="12.75">
      <c r="A143" s="1112">
        <v>107</v>
      </c>
      <c r="B143" s="1123" t="s">
        <v>340</v>
      </c>
      <c r="C143" s="1113"/>
      <c r="D143" s="1114"/>
      <c r="E143" s="1115"/>
      <c r="F143" s="875"/>
      <c r="G143" s="1116"/>
    </row>
    <row r="144" spans="1:7" ht="12.75">
      <c r="A144" s="1112"/>
      <c r="B144" s="1123" t="s">
        <v>521</v>
      </c>
      <c r="C144" s="1113"/>
      <c r="D144" s="1114"/>
      <c r="E144" s="1115"/>
      <c r="F144" s="875"/>
      <c r="G144" s="1116"/>
    </row>
    <row r="145" spans="1:8" ht="25.5">
      <c r="A145" s="1185"/>
      <c r="B145" s="1200" t="s">
        <v>522</v>
      </c>
      <c r="C145" s="1187" t="s">
        <v>1565</v>
      </c>
      <c r="D145" s="1188">
        <f>234.54+(0.05*20*15.7)</f>
        <v>250.23999999999998</v>
      </c>
      <c r="E145" s="1189">
        <f>D145*1.15</f>
        <v>287.77599999999995</v>
      </c>
      <c r="F145" s="1201" t="s">
        <v>433</v>
      </c>
      <c r="G145" s="1193"/>
      <c r="H145" s="438">
        <f>0.01*1570</f>
        <v>15.700000000000001</v>
      </c>
    </row>
    <row r="146" spans="1:8" ht="25.5">
      <c r="A146" s="1185"/>
      <c r="B146" s="1200" t="s">
        <v>524</v>
      </c>
      <c r="C146" s="1187" t="s">
        <v>1565</v>
      </c>
      <c r="D146" s="1188">
        <f>357.2+(0.05*20*31.4)</f>
        <v>388.59999999999997</v>
      </c>
      <c r="E146" s="1189">
        <f aca="true" t="shared" si="8" ref="E146:E155">D146*1.15</f>
        <v>446.88999999999993</v>
      </c>
      <c r="F146" s="1201" t="s">
        <v>433</v>
      </c>
      <c r="G146" s="1193"/>
      <c r="H146" s="438">
        <f>0.02*1570</f>
        <v>31.400000000000002</v>
      </c>
    </row>
    <row r="147" spans="1:8" ht="25.5">
      <c r="A147" s="1185"/>
      <c r="B147" s="1200" t="s">
        <v>525</v>
      </c>
      <c r="C147" s="1187" t="s">
        <v>1565</v>
      </c>
      <c r="D147" s="1188">
        <f>400.11+(0.05*20*47.1)</f>
        <v>447.21000000000004</v>
      </c>
      <c r="E147" s="1189">
        <f t="shared" si="8"/>
        <v>514.2915</v>
      </c>
      <c r="F147" s="1201" t="s">
        <v>433</v>
      </c>
      <c r="G147" s="1193"/>
      <c r="H147" s="438">
        <f>1570*0.03</f>
        <v>47.1</v>
      </c>
    </row>
    <row r="148" spans="1:7" ht="12.75">
      <c r="A148" s="1112"/>
      <c r="B148" s="1123" t="s">
        <v>526</v>
      </c>
      <c r="C148" s="1113"/>
      <c r="D148" s="1114"/>
      <c r="E148" s="1114"/>
      <c r="F148" s="1114"/>
      <c r="G148" s="1116"/>
    </row>
    <row r="149" spans="1:7" ht="14.25">
      <c r="A149" s="1185"/>
      <c r="B149" s="1186" t="s">
        <v>522</v>
      </c>
      <c r="C149" s="1187" t="s">
        <v>1565</v>
      </c>
      <c r="D149" s="1188">
        <f>369.55+(0.05*20*47.1)</f>
        <v>416.65000000000003</v>
      </c>
      <c r="E149" s="1188">
        <f t="shared" si="8"/>
        <v>479.1475</v>
      </c>
      <c r="F149" s="1188" t="s">
        <v>523</v>
      </c>
      <c r="G149" s="1202"/>
    </row>
    <row r="150" spans="1:7" ht="14.25">
      <c r="A150" s="1185"/>
      <c r="B150" s="1186" t="s">
        <v>524</v>
      </c>
      <c r="C150" s="1187" t="s">
        <v>1565</v>
      </c>
      <c r="D150" s="1188">
        <f>677.64+(0.05*20*47.1)</f>
        <v>724.74</v>
      </c>
      <c r="E150" s="1188">
        <f t="shared" si="8"/>
        <v>833.4509999999999</v>
      </c>
      <c r="F150" s="1188" t="s">
        <v>523</v>
      </c>
      <c r="G150" s="1202"/>
    </row>
    <row r="151" spans="1:7" ht="14.25">
      <c r="A151" s="1185"/>
      <c r="B151" s="1186" t="s">
        <v>525</v>
      </c>
      <c r="C151" s="1187" t="s">
        <v>1565</v>
      </c>
      <c r="D151" s="1188">
        <f>861.35+(0.05*20*47.1)</f>
        <v>908.45</v>
      </c>
      <c r="E151" s="1188">
        <f t="shared" si="8"/>
        <v>1044.7175</v>
      </c>
      <c r="F151" s="1188" t="s">
        <v>523</v>
      </c>
      <c r="G151" s="1202"/>
    </row>
    <row r="152" spans="1:7" ht="12.75">
      <c r="A152" s="1112"/>
      <c r="B152" s="1123" t="s">
        <v>527</v>
      </c>
      <c r="C152" s="1113"/>
      <c r="D152" s="1114"/>
      <c r="E152" s="1115"/>
      <c r="F152" s="875"/>
      <c r="G152" s="1116"/>
    </row>
    <row r="153" spans="1:7" ht="14.25">
      <c r="A153" s="1185"/>
      <c r="B153" s="1186" t="s">
        <v>522</v>
      </c>
      <c r="C153" s="1187" t="s">
        <v>1565</v>
      </c>
      <c r="D153" s="1186">
        <f>369.55+(0.05*20*47.1)</f>
        <v>416.65000000000003</v>
      </c>
      <c r="E153" s="1189">
        <f t="shared" si="8"/>
        <v>479.1475</v>
      </c>
      <c r="F153" s="992" t="s">
        <v>523</v>
      </c>
      <c r="G153" s="1202"/>
    </row>
    <row r="154" spans="1:7" ht="14.25">
      <c r="A154" s="1185"/>
      <c r="B154" s="1186" t="s">
        <v>524</v>
      </c>
      <c r="C154" s="1187" t="s">
        <v>1565</v>
      </c>
      <c r="D154" s="1186">
        <f>677.64+(0.05*20*47.1)</f>
        <v>724.74</v>
      </c>
      <c r="E154" s="1189">
        <f t="shared" si="8"/>
        <v>833.4509999999999</v>
      </c>
      <c r="F154" s="992" t="s">
        <v>523</v>
      </c>
      <c r="G154" s="1202"/>
    </row>
    <row r="155" spans="1:7" ht="14.25">
      <c r="A155" s="1185"/>
      <c r="B155" s="1186" t="s">
        <v>525</v>
      </c>
      <c r="C155" s="1187" t="s">
        <v>1565</v>
      </c>
      <c r="D155" s="1186">
        <f>861.35+(0.05*20*47.1)</f>
        <v>908.45</v>
      </c>
      <c r="E155" s="1189">
        <f t="shared" si="8"/>
        <v>1044.7175</v>
      </c>
      <c r="F155" s="992" t="s">
        <v>523</v>
      </c>
      <c r="G155" s="1202"/>
    </row>
    <row r="156" spans="1:7" ht="12.75">
      <c r="A156" s="1112"/>
      <c r="B156" s="1123" t="s">
        <v>528</v>
      </c>
      <c r="C156" s="1113"/>
      <c r="D156" s="1114"/>
      <c r="E156" s="1115"/>
      <c r="F156" s="875"/>
      <c r="G156" s="1116"/>
    </row>
    <row r="157" spans="1:7" ht="14.25">
      <c r="A157" s="1112"/>
      <c r="B157" s="1117" t="s">
        <v>522</v>
      </c>
      <c r="C157" s="1113" t="s">
        <v>1565</v>
      </c>
      <c r="D157" s="1114">
        <v>271.25</v>
      </c>
      <c r="E157" s="1115">
        <f aca="true" t="shared" si="9" ref="E157:E163">D157*1.15</f>
        <v>311.9375</v>
      </c>
      <c r="F157" s="875" t="s">
        <v>529</v>
      </c>
      <c r="G157" s="1119"/>
    </row>
    <row r="158" spans="1:7" ht="14.25">
      <c r="A158" s="1112"/>
      <c r="B158" s="1117" t="s">
        <v>524</v>
      </c>
      <c r="C158" s="1113" t="s">
        <v>1565</v>
      </c>
      <c r="D158" s="1114">
        <v>296.29</v>
      </c>
      <c r="E158" s="1115">
        <f t="shared" si="9"/>
        <v>340.7335</v>
      </c>
      <c r="F158" s="875" t="s">
        <v>529</v>
      </c>
      <c r="G158" s="1119"/>
    </row>
    <row r="159" spans="1:7" ht="14.25">
      <c r="A159" s="1112"/>
      <c r="B159" s="1117" t="s">
        <v>525</v>
      </c>
      <c r="C159" s="1113" t="s">
        <v>1565</v>
      </c>
      <c r="D159" s="1114">
        <v>328.34</v>
      </c>
      <c r="E159" s="1115">
        <f t="shared" si="9"/>
        <v>377.59099999999995</v>
      </c>
      <c r="F159" s="875" t="s">
        <v>529</v>
      </c>
      <c r="G159" s="1119"/>
    </row>
    <row r="160" spans="1:7" ht="12.75">
      <c r="A160" s="1112"/>
      <c r="B160" s="1117" t="s">
        <v>530</v>
      </c>
      <c r="C160" s="1113"/>
      <c r="D160" s="1114"/>
      <c r="E160" s="1115"/>
      <c r="F160" s="875"/>
      <c r="G160" s="1119"/>
    </row>
    <row r="161" spans="1:7" ht="14.25">
      <c r="A161" s="1112"/>
      <c r="B161" s="1117" t="s">
        <v>522</v>
      </c>
      <c r="C161" s="1113" t="s">
        <v>1565</v>
      </c>
      <c r="D161" s="1114">
        <v>297</v>
      </c>
      <c r="E161" s="1115">
        <f t="shared" si="9"/>
        <v>341.54999999999995</v>
      </c>
      <c r="F161" s="875" t="s">
        <v>529</v>
      </c>
      <c r="G161" s="1119"/>
    </row>
    <row r="162" spans="1:7" ht="14.25">
      <c r="A162" s="1112"/>
      <c r="B162" s="1117" t="s">
        <v>524</v>
      </c>
      <c r="C162" s="1113" t="s">
        <v>1565</v>
      </c>
      <c r="D162" s="1114">
        <v>512</v>
      </c>
      <c r="E162" s="1115">
        <f t="shared" si="9"/>
        <v>588.8</v>
      </c>
      <c r="F162" s="875" t="s">
        <v>529</v>
      </c>
      <c r="G162" s="1119"/>
    </row>
    <row r="163" spans="1:7" ht="14.25">
      <c r="A163" s="1112"/>
      <c r="B163" s="1117" t="s">
        <v>525</v>
      </c>
      <c r="C163" s="1113" t="s">
        <v>1565</v>
      </c>
      <c r="D163" s="1114">
        <v>635.24</v>
      </c>
      <c r="E163" s="1115">
        <f t="shared" si="9"/>
        <v>730.526</v>
      </c>
      <c r="F163" s="875" t="s">
        <v>529</v>
      </c>
      <c r="G163" s="1119"/>
    </row>
    <row r="164" spans="1:7" ht="12.75">
      <c r="A164" s="1112"/>
      <c r="B164" s="1123" t="s">
        <v>1010</v>
      </c>
      <c r="C164" s="1113"/>
      <c r="D164" s="1114"/>
      <c r="E164" s="1115"/>
      <c r="F164" s="875"/>
      <c r="G164" s="1116"/>
    </row>
    <row r="165" spans="1:8" ht="14.25">
      <c r="A165" s="1112"/>
      <c r="B165" s="1117" t="s">
        <v>1011</v>
      </c>
      <c r="C165" s="1113" t="s">
        <v>1565</v>
      </c>
      <c r="D165" s="1114">
        <f>369.55+(0.05*20*47.1)</f>
        <v>416.65000000000003</v>
      </c>
      <c r="E165" s="1115"/>
      <c r="F165" s="875" t="s">
        <v>1012</v>
      </c>
      <c r="G165" s="1119"/>
      <c r="H165" s="1203" t="s">
        <v>434</v>
      </c>
    </row>
    <row r="166" spans="1:7" ht="14.25">
      <c r="A166" s="1112"/>
      <c r="B166" s="1117" t="s">
        <v>1739</v>
      </c>
      <c r="C166" s="1113" t="s">
        <v>1565</v>
      </c>
      <c r="D166" s="1114">
        <f>677.64+(0.05*20*47.1)</f>
        <v>724.74</v>
      </c>
      <c r="E166" s="1115">
        <f>D166*1.15</f>
        <v>833.4509999999999</v>
      </c>
      <c r="F166" s="875" t="s">
        <v>1012</v>
      </c>
      <c r="G166" s="1124"/>
    </row>
    <row r="167" spans="1:7" ht="14.25">
      <c r="A167" s="1112"/>
      <c r="B167" s="1117" t="s">
        <v>1738</v>
      </c>
      <c r="C167" s="1113" t="s">
        <v>1565</v>
      </c>
      <c r="D167" s="1114">
        <f>861.35+(0.05*20*47.1)</f>
        <v>908.45</v>
      </c>
      <c r="E167" s="1115">
        <f>D167*1.15</f>
        <v>1044.7175</v>
      </c>
      <c r="F167" s="875" t="s">
        <v>1012</v>
      </c>
      <c r="G167" s="1124"/>
    </row>
    <row r="168" spans="1:7" ht="12.75">
      <c r="A168" s="1112"/>
      <c r="B168" s="1123" t="s">
        <v>1010</v>
      </c>
      <c r="C168" s="1113"/>
      <c r="D168" s="1114"/>
      <c r="E168" s="1115"/>
      <c r="F168" s="875"/>
      <c r="G168" s="1116"/>
    </row>
    <row r="169" spans="1:7" ht="14.25">
      <c r="A169" s="1112"/>
      <c r="B169" s="1117" t="s">
        <v>1013</v>
      </c>
      <c r="C169" s="1113" t="s">
        <v>1565</v>
      </c>
      <c r="D169" s="1114"/>
      <c r="E169" s="1115">
        <f>D169*1.15</f>
        <v>0</v>
      </c>
      <c r="F169" s="875" t="s">
        <v>1012</v>
      </c>
      <c r="G169" s="1124"/>
    </row>
    <row r="170" spans="1:7" ht="14.25">
      <c r="A170" s="1112"/>
      <c r="B170" s="1117" t="s">
        <v>1014</v>
      </c>
      <c r="C170" s="1113" t="s">
        <v>1565</v>
      </c>
      <c r="D170" s="1114">
        <v>500</v>
      </c>
      <c r="E170" s="1115">
        <f>D170*1.15</f>
        <v>575</v>
      </c>
      <c r="F170" s="875" t="s">
        <v>1012</v>
      </c>
      <c r="G170" s="1124"/>
    </row>
    <row r="171" spans="1:7" ht="14.25">
      <c r="A171" s="1112"/>
      <c r="B171" s="1117" t="s">
        <v>1015</v>
      </c>
      <c r="C171" s="1113" t="s">
        <v>1565</v>
      </c>
      <c r="D171" s="1114">
        <v>546</v>
      </c>
      <c r="E171" s="1115">
        <f>D171*1.15</f>
        <v>627.9</v>
      </c>
      <c r="F171" s="875" t="s">
        <v>1012</v>
      </c>
      <c r="G171" s="1124"/>
    </row>
    <row r="172" spans="1:7" ht="12.75">
      <c r="A172" s="1112"/>
      <c r="B172" s="1120" t="s">
        <v>2368</v>
      </c>
      <c r="C172" s="1113"/>
      <c r="D172" s="1114"/>
      <c r="E172" s="1115"/>
      <c r="F172" s="875"/>
      <c r="G172" s="1116"/>
    </row>
    <row r="173" spans="1:7" ht="12.75">
      <c r="A173" s="1112">
        <v>108</v>
      </c>
      <c r="B173" s="1123" t="s">
        <v>2936</v>
      </c>
      <c r="C173" s="1113"/>
      <c r="D173" s="1114"/>
      <c r="E173" s="1115"/>
      <c r="F173" s="875"/>
      <c r="G173" s="1116"/>
    </row>
    <row r="174" spans="1:7" ht="12.75">
      <c r="A174" s="1112"/>
      <c r="B174" s="1117" t="s">
        <v>2937</v>
      </c>
      <c r="C174" s="1113" t="s">
        <v>2938</v>
      </c>
      <c r="D174" s="1114">
        <v>55.89</v>
      </c>
      <c r="E174" s="1115">
        <f>D174*1.15</f>
        <v>64.2735</v>
      </c>
      <c r="F174" s="875" t="s">
        <v>1016</v>
      </c>
      <c r="G174" s="1119"/>
    </row>
    <row r="175" spans="1:7" ht="12.75">
      <c r="A175" s="1112"/>
      <c r="B175" s="1117" t="s">
        <v>2939</v>
      </c>
      <c r="C175" s="1113" t="s">
        <v>2938</v>
      </c>
      <c r="D175" s="1114">
        <v>16.29</v>
      </c>
      <c r="E175" s="1115">
        <f>D175*1.15</f>
        <v>18.733499999999996</v>
      </c>
      <c r="F175" s="875" t="s">
        <v>2940</v>
      </c>
      <c r="G175" s="1119"/>
    </row>
    <row r="176" spans="1:7" ht="12.75">
      <c r="A176" s="1112"/>
      <c r="B176" s="1117" t="s">
        <v>2941</v>
      </c>
      <c r="C176" s="1113" t="s">
        <v>2938</v>
      </c>
      <c r="D176" s="1114">
        <f>(13.94+20)*2</f>
        <v>67.88</v>
      </c>
      <c r="E176" s="1115">
        <f>D176*1.15</f>
        <v>78.06199999999998</v>
      </c>
      <c r="F176" s="875" t="s">
        <v>2940</v>
      </c>
      <c r="G176" s="1119"/>
    </row>
    <row r="177" spans="1:7" ht="12.75">
      <c r="A177" s="1112"/>
      <c r="B177" s="1117" t="s">
        <v>2942</v>
      </c>
      <c r="C177" s="1113" t="s">
        <v>2938</v>
      </c>
      <c r="D177" s="1114">
        <v>13.26</v>
      </c>
      <c r="E177" s="1115">
        <f>D177*1.15</f>
        <v>15.248999999999999</v>
      </c>
      <c r="F177" s="875" t="s">
        <v>2940</v>
      </c>
      <c r="G177" s="1119"/>
    </row>
    <row r="178" spans="1:7" ht="12.75">
      <c r="A178" s="1112"/>
      <c r="B178" s="1123" t="s">
        <v>341</v>
      </c>
      <c r="C178" s="1113"/>
      <c r="D178" s="1114"/>
      <c r="E178" s="1115"/>
      <c r="F178" s="875"/>
      <c r="G178" s="1116"/>
    </row>
    <row r="179" spans="1:7" ht="12.75">
      <c r="A179" s="1112"/>
      <c r="B179" s="1117" t="s">
        <v>523</v>
      </c>
      <c r="C179" s="1113"/>
      <c r="D179" s="1114"/>
      <c r="E179" s="1115"/>
      <c r="F179" s="875"/>
      <c r="G179" s="1116"/>
    </row>
    <row r="180" spans="1:7" ht="12.75">
      <c r="A180" s="1112"/>
      <c r="B180" s="1117" t="s">
        <v>342</v>
      </c>
      <c r="C180" s="1113" t="s">
        <v>2938</v>
      </c>
      <c r="D180" s="1114">
        <v>35.49</v>
      </c>
      <c r="E180" s="1115">
        <f>D180*1.15</f>
        <v>40.8135</v>
      </c>
      <c r="F180" s="875" t="s">
        <v>1016</v>
      </c>
      <c r="G180" s="1132"/>
    </row>
    <row r="181" spans="1:7" ht="12.75">
      <c r="A181" s="1112"/>
      <c r="B181" s="1117" t="s">
        <v>343</v>
      </c>
      <c r="C181" s="1113" t="s">
        <v>2938</v>
      </c>
      <c r="D181" s="1114">
        <v>55.89</v>
      </c>
      <c r="E181" s="1115">
        <f aca="true" t="shared" si="10" ref="E181:E197">D181*1.15</f>
        <v>64.2735</v>
      </c>
      <c r="F181" s="875" t="s">
        <v>1016</v>
      </c>
      <c r="G181" s="1119"/>
    </row>
    <row r="182" spans="1:7" ht="12.75">
      <c r="A182" s="1112"/>
      <c r="B182" s="1117" t="s">
        <v>344</v>
      </c>
      <c r="C182" s="1113" t="s">
        <v>2938</v>
      </c>
      <c r="D182" s="1114">
        <v>55.89</v>
      </c>
      <c r="E182" s="1115">
        <f t="shared" si="10"/>
        <v>64.2735</v>
      </c>
      <c r="F182" s="875" t="s">
        <v>1016</v>
      </c>
      <c r="G182" s="1119"/>
    </row>
    <row r="183" spans="1:7" ht="12.75">
      <c r="A183" s="1112"/>
      <c r="B183" s="1117" t="s">
        <v>345</v>
      </c>
      <c r="C183" s="1113"/>
      <c r="D183" s="1114"/>
      <c r="E183" s="1115"/>
      <c r="F183" s="875"/>
      <c r="G183" s="1116"/>
    </row>
    <row r="184" spans="1:7" ht="12.75">
      <c r="A184" s="1112"/>
      <c r="B184" s="1117" t="s">
        <v>346</v>
      </c>
      <c r="C184" s="1113" t="s">
        <v>2938</v>
      </c>
      <c r="D184" s="1114">
        <f>0.07*620</f>
        <v>43.400000000000006</v>
      </c>
      <c r="E184" s="1115">
        <f t="shared" si="10"/>
        <v>49.910000000000004</v>
      </c>
      <c r="F184" s="875" t="s">
        <v>2940</v>
      </c>
      <c r="G184" s="1132"/>
    </row>
    <row r="185" spans="1:7" ht="12.75">
      <c r="A185" s="1112"/>
      <c r="B185" s="1117" t="s">
        <v>347</v>
      </c>
      <c r="C185" s="1113" t="s">
        <v>2938</v>
      </c>
      <c r="D185" s="1114">
        <f>0.08*620</f>
        <v>49.6</v>
      </c>
      <c r="E185" s="1115">
        <f t="shared" si="10"/>
        <v>57.04</v>
      </c>
      <c r="F185" s="875" t="s">
        <v>2940</v>
      </c>
      <c r="G185" s="1132"/>
    </row>
    <row r="186" spans="1:7" ht="12.75">
      <c r="A186" s="1112"/>
      <c r="B186" s="1117" t="s">
        <v>348</v>
      </c>
      <c r="C186" s="1113" t="s">
        <v>2938</v>
      </c>
      <c r="D186" s="1114">
        <f>0.09*620</f>
        <v>55.8</v>
      </c>
      <c r="E186" s="1115">
        <f t="shared" si="10"/>
        <v>64.16999999999999</v>
      </c>
      <c r="F186" s="875" t="s">
        <v>2940</v>
      </c>
      <c r="G186" s="1132"/>
    </row>
    <row r="187" spans="1:7" ht="12.75">
      <c r="A187" s="1112"/>
      <c r="B187" s="1117" t="s">
        <v>349</v>
      </c>
      <c r="C187" s="1113" t="s">
        <v>2938</v>
      </c>
      <c r="D187" s="1114">
        <f>0.1*620</f>
        <v>62</v>
      </c>
      <c r="E187" s="1115">
        <f t="shared" si="10"/>
        <v>71.3</v>
      </c>
      <c r="F187" s="875" t="s">
        <v>2940</v>
      </c>
      <c r="G187" s="1132"/>
    </row>
    <row r="188" spans="1:7" ht="12.75">
      <c r="A188" s="1112"/>
      <c r="B188" s="1117" t="s">
        <v>350</v>
      </c>
      <c r="C188" s="1113" t="s">
        <v>2938</v>
      </c>
      <c r="D188" s="1114">
        <f>0.07*620*(3/2)</f>
        <v>65.10000000000001</v>
      </c>
      <c r="E188" s="1115">
        <f t="shared" si="10"/>
        <v>74.86500000000001</v>
      </c>
      <c r="F188" s="875" t="s">
        <v>2940</v>
      </c>
      <c r="G188" s="1132"/>
    </row>
    <row r="189" spans="1:7" ht="12.75">
      <c r="A189" s="1112"/>
      <c r="B189" s="1117" t="s">
        <v>351</v>
      </c>
      <c r="C189" s="1113" t="s">
        <v>2938</v>
      </c>
      <c r="D189" s="1114">
        <f>0.08*620*(3/2)</f>
        <v>74.4</v>
      </c>
      <c r="E189" s="1115">
        <f t="shared" si="10"/>
        <v>85.56</v>
      </c>
      <c r="F189" s="875" t="s">
        <v>2940</v>
      </c>
      <c r="G189" s="1132"/>
    </row>
    <row r="190" spans="1:7" ht="12.75">
      <c r="A190" s="1112"/>
      <c r="B190" s="1117" t="s">
        <v>352</v>
      </c>
      <c r="C190" s="1113" t="s">
        <v>2938</v>
      </c>
      <c r="D190" s="1114">
        <f>0.09*620*(3/2)</f>
        <v>83.69999999999999</v>
      </c>
      <c r="E190" s="1115">
        <f t="shared" si="10"/>
        <v>96.25499999999998</v>
      </c>
      <c r="F190" s="875" t="s">
        <v>2940</v>
      </c>
      <c r="G190" s="1132"/>
    </row>
    <row r="191" spans="1:7" ht="12.75">
      <c r="A191" s="1112"/>
      <c r="B191" s="1117" t="s">
        <v>353</v>
      </c>
      <c r="C191" s="1113" t="s">
        <v>2938</v>
      </c>
      <c r="D191" s="1114">
        <f>0.1*620*(3/2)</f>
        <v>93</v>
      </c>
      <c r="E191" s="1115">
        <f t="shared" si="10"/>
        <v>106.94999999999999</v>
      </c>
      <c r="F191" s="875" t="s">
        <v>2940</v>
      </c>
      <c r="G191" s="1132"/>
    </row>
    <row r="192" spans="1:7" ht="12.75">
      <c r="A192" s="1112"/>
      <c r="B192" s="1123" t="s">
        <v>354</v>
      </c>
      <c r="C192" s="1113"/>
      <c r="D192" s="1114"/>
      <c r="E192" s="1115"/>
      <c r="F192" s="875"/>
      <c r="G192" s="1116"/>
    </row>
    <row r="193" spans="1:8" ht="12.75">
      <c r="A193" s="1112"/>
      <c r="B193" s="1117" t="s">
        <v>355</v>
      </c>
      <c r="C193" s="1113" t="s">
        <v>2938</v>
      </c>
      <c r="D193" s="1114">
        <v>7.5</v>
      </c>
      <c r="E193" s="1115">
        <f>D193*1.15</f>
        <v>8.625</v>
      </c>
      <c r="F193" s="875" t="s">
        <v>2935</v>
      </c>
      <c r="G193" s="1116"/>
      <c r="H193" s="1127"/>
    </row>
    <row r="194" spans="1:7" ht="12.75">
      <c r="A194" s="1112"/>
      <c r="B194" s="1117" t="s">
        <v>356</v>
      </c>
      <c r="C194" s="1113" t="s">
        <v>2938</v>
      </c>
      <c r="D194" s="1114">
        <v>9.5</v>
      </c>
      <c r="E194" s="1115">
        <f>D194*1.15</f>
        <v>10.924999999999999</v>
      </c>
      <c r="F194" s="875" t="s">
        <v>2935</v>
      </c>
      <c r="G194" s="1116"/>
    </row>
    <row r="195" spans="1:7" ht="12.75">
      <c r="A195" s="1112"/>
      <c r="B195" s="1117" t="s">
        <v>357</v>
      </c>
      <c r="C195" s="1113" t="s">
        <v>2938</v>
      </c>
      <c r="D195" s="1131">
        <v>11.5</v>
      </c>
      <c r="E195" s="1115">
        <f>D195*1.15</f>
        <v>13.225</v>
      </c>
      <c r="F195" s="875" t="s">
        <v>2935</v>
      </c>
      <c r="G195" s="1116"/>
    </row>
    <row r="196" spans="1:7" ht="12.75">
      <c r="A196" s="1112">
        <v>109</v>
      </c>
      <c r="B196" s="875" t="s">
        <v>983</v>
      </c>
      <c r="C196" s="1113" t="s">
        <v>2359</v>
      </c>
      <c r="D196" s="1114">
        <v>264.99</v>
      </c>
      <c r="E196" s="1115">
        <f t="shared" si="10"/>
        <v>304.7385</v>
      </c>
      <c r="F196" s="875" t="s">
        <v>2935</v>
      </c>
      <c r="G196" s="1116"/>
    </row>
    <row r="197" spans="1:7" ht="12.75">
      <c r="A197" s="1112"/>
      <c r="B197" s="875" t="s">
        <v>984</v>
      </c>
      <c r="C197" s="1113" t="s">
        <v>2359</v>
      </c>
      <c r="D197" s="1114">
        <v>173.91</v>
      </c>
      <c r="E197" s="1115">
        <f t="shared" si="10"/>
        <v>199.99649999999997</v>
      </c>
      <c r="F197" s="875" t="s">
        <v>1023</v>
      </c>
      <c r="G197" s="1116"/>
    </row>
    <row r="198" spans="1:7" ht="12.75">
      <c r="A198" s="1112"/>
      <c r="B198" s="1120" t="s">
        <v>358</v>
      </c>
      <c r="C198" s="1113"/>
      <c r="D198" s="1114"/>
      <c r="E198" s="1115"/>
      <c r="F198" s="875"/>
      <c r="G198" s="1116"/>
    </row>
    <row r="199" spans="1:7" ht="25.5">
      <c r="A199" s="1112">
        <v>110</v>
      </c>
      <c r="B199" s="875" t="s">
        <v>359</v>
      </c>
      <c r="C199" s="1113" t="s">
        <v>1565</v>
      </c>
      <c r="D199" s="1114">
        <f>82.61+20</f>
        <v>102.61</v>
      </c>
      <c r="E199" s="1115">
        <f aca="true" t="shared" si="11" ref="E199:E207">D199*1.15</f>
        <v>118.0015</v>
      </c>
      <c r="F199" s="1130" t="s">
        <v>396</v>
      </c>
      <c r="G199" s="1116"/>
    </row>
    <row r="200" spans="1:7" ht="25.5">
      <c r="A200" s="1112">
        <v>111</v>
      </c>
      <c r="B200" s="875" t="s">
        <v>360</v>
      </c>
      <c r="C200" s="1113" t="s">
        <v>1565</v>
      </c>
      <c r="D200" s="1131">
        <f>87.1+20</f>
        <v>107.1</v>
      </c>
      <c r="E200" s="1115">
        <f t="shared" si="11"/>
        <v>123.16499999999998</v>
      </c>
      <c r="F200" s="1130" t="s">
        <v>396</v>
      </c>
      <c r="G200" s="1116"/>
    </row>
    <row r="201" spans="1:7" ht="25.5">
      <c r="A201" s="1112">
        <v>112</v>
      </c>
      <c r="B201" s="875" t="s">
        <v>361</v>
      </c>
      <c r="C201" s="1113" t="s">
        <v>2369</v>
      </c>
      <c r="D201" s="1131">
        <f>8.7+0.25</f>
        <v>8.95</v>
      </c>
      <c r="E201" s="1115">
        <f t="shared" si="11"/>
        <v>10.292499999999999</v>
      </c>
      <c r="F201" s="1130" t="s">
        <v>396</v>
      </c>
      <c r="G201" s="1116"/>
    </row>
    <row r="202" spans="1:7" ht="25.5">
      <c r="A202" s="1112">
        <v>113</v>
      </c>
      <c r="B202" s="875" t="s">
        <v>2370</v>
      </c>
      <c r="C202" s="1113" t="s">
        <v>1565</v>
      </c>
      <c r="D202" s="1114">
        <v>147.83</v>
      </c>
      <c r="E202" s="1115">
        <f t="shared" si="11"/>
        <v>170.0045</v>
      </c>
      <c r="F202" s="1130" t="s">
        <v>396</v>
      </c>
      <c r="G202" s="1116"/>
    </row>
    <row r="203" spans="1:7" ht="25.5">
      <c r="A203" s="1112">
        <v>114</v>
      </c>
      <c r="B203" s="875" t="s">
        <v>362</v>
      </c>
      <c r="C203" s="1113" t="s">
        <v>1565</v>
      </c>
      <c r="D203" s="1114">
        <v>200</v>
      </c>
      <c r="E203" s="1115">
        <f t="shared" si="11"/>
        <v>229.99999999999997</v>
      </c>
      <c r="F203" s="1130" t="s">
        <v>396</v>
      </c>
      <c r="G203" s="1116"/>
    </row>
    <row r="204" spans="1:7" ht="25.5">
      <c r="A204" s="1112">
        <v>115</v>
      </c>
      <c r="B204" s="875" t="s">
        <v>2370</v>
      </c>
      <c r="C204" s="1113" t="s">
        <v>1565</v>
      </c>
      <c r="D204" s="1114">
        <v>147.83</v>
      </c>
      <c r="E204" s="1115">
        <f t="shared" si="11"/>
        <v>170.0045</v>
      </c>
      <c r="F204" s="1130" t="s">
        <v>396</v>
      </c>
      <c r="G204" s="1116"/>
    </row>
    <row r="205" spans="1:7" ht="25.5">
      <c r="A205" s="1112">
        <v>116</v>
      </c>
      <c r="B205" s="875" t="s">
        <v>363</v>
      </c>
      <c r="C205" s="1113" t="s">
        <v>1565</v>
      </c>
      <c r="D205" s="1114">
        <v>652.17</v>
      </c>
      <c r="E205" s="1115">
        <f t="shared" si="11"/>
        <v>749.9954999999999</v>
      </c>
      <c r="F205" s="1130" t="s">
        <v>396</v>
      </c>
      <c r="G205" s="1116"/>
    </row>
    <row r="206" spans="1:7" ht="25.5">
      <c r="A206" s="1112">
        <v>117</v>
      </c>
      <c r="B206" s="875" t="s">
        <v>364</v>
      </c>
      <c r="C206" s="1113" t="s">
        <v>1565</v>
      </c>
      <c r="D206" s="1114">
        <v>220</v>
      </c>
      <c r="E206" s="1115">
        <f t="shared" si="11"/>
        <v>252.99999999999997</v>
      </c>
      <c r="F206" s="1130" t="s">
        <v>396</v>
      </c>
      <c r="G206" s="1116"/>
    </row>
    <row r="207" spans="1:7" ht="25.5">
      <c r="A207" s="1112">
        <v>118</v>
      </c>
      <c r="B207" s="875" t="s">
        <v>365</v>
      </c>
      <c r="C207" s="1113" t="s">
        <v>1565</v>
      </c>
      <c r="D207" s="1114">
        <v>321.74</v>
      </c>
      <c r="E207" s="1115">
        <f t="shared" si="11"/>
        <v>370.001</v>
      </c>
      <c r="F207" s="1130" t="s">
        <v>396</v>
      </c>
      <c r="G207" s="1116"/>
    </row>
    <row r="208" spans="1:7" ht="12.75">
      <c r="A208" s="1112">
        <v>119</v>
      </c>
      <c r="B208" s="1120" t="s">
        <v>366</v>
      </c>
      <c r="C208" s="1113"/>
      <c r="D208" s="1114"/>
      <c r="E208" s="1115"/>
      <c r="F208" s="875"/>
      <c r="G208" s="1116"/>
    </row>
    <row r="209" spans="1:7" ht="14.25">
      <c r="A209" s="1185">
        <v>120</v>
      </c>
      <c r="B209" s="1204" t="s">
        <v>367</v>
      </c>
      <c r="C209" s="1187" t="s">
        <v>1565</v>
      </c>
      <c r="D209" s="1188">
        <f>5520*1.2</f>
        <v>6624</v>
      </c>
      <c r="E209" s="1189">
        <f>D209*1.15</f>
        <v>7617.599999999999</v>
      </c>
      <c r="F209" s="992" t="s">
        <v>1040</v>
      </c>
      <c r="G209" s="1193"/>
    </row>
    <row r="210" spans="1:7" ht="14.25">
      <c r="A210" s="1185">
        <v>121</v>
      </c>
      <c r="B210" s="1204" t="s">
        <v>368</v>
      </c>
      <c r="C210" s="1187" t="s">
        <v>1565</v>
      </c>
      <c r="D210" s="1188">
        <f>7440*1.2</f>
        <v>8928</v>
      </c>
      <c r="E210" s="1189">
        <f aca="true" t="shared" si="12" ref="E210:E221">D210*1.15</f>
        <v>10267.199999999999</v>
      </c>
      <c r="F210" s="992" t="s">
        <v>1040</v>
      </c>
      <c r="G210" s="1193"/>
    </row>
    <row r="211" spans="1:7" ht="14.25">
      <c r="A211" s="1185">
        <v>122</v>
      </c>
      <c r="B211" s="1204" t="s">
        <v>369</v>
      </c>
      <c r="C211" s="1187" t="s">
        <v>1565</v>
      </c>
      <c r="D211" s="1188">
        <f>4300*1.2</f>
        <v>5160</v>
      </c>
      <c r="E211" s="1189">
        <f t="shared" si="12"/>
        <v>5933.999999999999</v>
      </c>
      <c r="F211" s="992" t="s">
        <v>2763</v>
      </c>
      <c r="G211" s="1193"/>
    </row>
    <row r="212" spans="1:7" ht="14.25">
      <c r="A212" s="1112">
        <v>123</v>
      </c>
      <c r="B212" s="1121" t="s">
        <v>370</v>
      </c>
      <c r="C212" s="1113" t="s">
        <v>1565</v>
      </c>
      <c r="D212" s="1114">
        <f>1950*1.2</f>
        <v>2340</v>
      </c>
      <c r="E212" s="1115">
        <f t="shared" si="12"/>
        <v>2691</v>
      </c>
      <c r="F212" s="875" t="s">
        <v>1040</v>
      </c>
      <c r="G212" s="1116"/>
    </row>
    <row r="213" spans="1:7" ht="14.25">
      <c r="A213" s="1185">
        <v>124</v>
      </c>
      <c r="B213" s="1204" t="s">
        <v>1942</v>
      </c>
      <c r="C213" s="1187" t="s">
        <v>1565</v>
      </c>
      <c r="D213" s="1188">
        <f>1950*1.2</f>
        <v>2340</v>
      </c>
      <c r="E213" s="1189">
        <f t="shared" si="12"/>
        <v>2691</v>
      </c>
      <c r="F213" s="992" t="s">
        <v>2763</v>
      </c>
      <c r="G213" s="1193"/>
    </row>
    <row r="214" spans="1:7" ht="14.25">
      <c r="A214" s="1185">
        <v>125</v>
      </c>
      <c r="B214" s="1204" t="s">
        <v>1943</v>
      </c>
      <c r="C214" s="1187" t="s">
        <v>1565</v>
      </c>
      <c r="D214" s="1188">
        <f>(2684+100+5)*1.05</f>
        <v>2928.4500000000003</v>
      </c>
      <c r="E214" s="1189">
        <f t="shared" si="12"/>
        <v>3367.7175</v>
      </c>
      <c r="F214" s="992" t="s">
        <v>2763</v>
      </c>
      <c r="G214" s="1193"/>
    </row>
    <row r="215" spans="1:7" ht="14.25">
      <c r="A215" s="1185">
        <v>126</v>
      </c>
      <c r="B215" s="1204" t="s">
        <v>1944</v>
      </c>
      <c r="C215" s="1187" t="s">
        <v>1565</v>
      </c>
      <c r="D215" s="1188">
        <f>1440*1.2</f>
        <v>1728</v>
      </c>
      <c r="E215" s="1189">
        <f t="shared" si="12"/>
        <v>1987.1999999999998</v>
      </c>
      <c r="F215" s="992" t="s">
        <v>1040</v>
      </c>
      <c r="G215" s="1193"/>
    </row>
    <row r="216" spans="1:7" ht="29.25" customHeight="1">
      <c r="A216" s="1185">
        <v>127</v>
      </c>
      <c r="B216" s="1205" t="s">
        <v>399</v>
      </c>
      <c r="C216" s="1187" t="s">
        <v>1565</v>
      </c>
      <c r="D216" s="1188">
        <f>(2520+100+5)*1.05</f>
        <v>2756.25</v>
      </c>
      <c r="E216" s="1189">
        <f t="shared" si="12"/>
        <v>3169.6874999999995</v>
      </c>
      <c r="F216" s="992" t="s">
        <v>1040</v>
      </c>
      <c r="G216" s="1202"/>
    </row>
    <row r="217" spans="1:7" ht="28.5" customHeight="1">
      <c r="A217" s="1185">
        <v>128</v>
      </c>
      <c r="B217" s="1205" t="s">
        <v>399</v>
      </c>
      <c r="C217" s="1187" t="s">
        <v>1565</v>
      </c>
      <c r="D217" s="1188">
        <f>D216</f>
        <v>2756.25</v>
      </c>
      <c r="E217" s="1189">
        <f t="shared" si="12"/>
        <v>3169.6874999999995</v>
      </c>
      <c r="F217" s="992" t="s">
        <v>1040</v>
      </c>
      <c r="G217" s="1202"/>
    </row>
    <row r="218" spans="1:7" ht="14.25">
      <c r="A218" s="1112">
        <v>129</v>
      </c>
      <c r="B218" s="875" t="s">
        <v>2166</v>
      </c>
      <c r="C218" s="1113" t="s">
        <v>1565</v>
      </c>
      <c r="D218" s="1114">
        <v>58</v>
      </c>
      <c r="E218" s="1115">
        <f t="shared" si="12"/>
        <v>66.69999999999999</v>
      </c>
      <c r="F218" s="875"/>
      <c r="G218" s="1116"/>
    </row>
    <row r="219" spans="1:7" ht="12.75">
      <c r="A219" s="1112">
        <v>130</v>
      </c>
      <c r="B219" s="875" t="s">
        <v>2167</v>
      </c>
      <c r="C219" s="1113" t="s">
        <v>2373</v>
      </c>
      <c r="D219" s="1114">
        <v>5.85</v>
      </c>
      <c r="E219" s="1115">
        <f t="shared" si="12"/>
        <v>6.727499999999999</v>
      </c>
      <c r="F219" s="1121" t="s">
        <v>397</v>
      </c>
      <c r="G219" s="1116"/>
    </row>
    <row r="220" spans="1:7" ht="12.75">
      <c r="A220" s="1185">
        <v>131</v>
      </c>
      <c r="B220" s="875" t="s">
        <v>2374</v>
      </c>
      <c r="C220" s="1113" t="s">
        <v>2373</v>
      </c>
      <c r="D220" s="1114">
        <v>1.35</v>
      </c>
      <c r="E220" s="1115">
        <f t="shared" si="12"/>
        <v>1.5525</v>
      </c>
      <c r="F220" s="875"/>
      <c r="G220" s="1116"/>
    </row>
    <row r="221" spans="1:7" ht="12.75">
      <c r="A221" s="1185">
        <v>132</v>
      </c>
      <c r="B221" s="875" t="s">
        <v>2168</v>
      </c>
      <c r="C221" s="1113" t="s">
        <v>2373</v>
      </c>
      <c r="D221" s="1114">
        <f>0.4*1.8</f>
        <v>0.7200000000000001</v>
      </c>
      <c r="E221" s="1115">
        <f t="shared" si="12"/>
        <v>0.8280000000000001</v>
      </c>
      <c r="F221" s="1121" t="s">
        <v>1023</v>
      </c>
      <c r="G221" s="1116"/>
    </row>
    <row r="222" spans="1:7" ht="12.75">
      <c r="A222" s="1112">
        <v>133</v>
      </c>
      <c r="B222" s="1120" t="s">
        <v>2169</v>
      </c>
      <c r="C222" s="875"/>
      <c r="D222" s="875"/>
      <c r="E222" s="1115"/>
      <c r="F222" s="875"/>
      <c r="G222" s="1116"/>
    </row>
    <row r="223" spans="1:10" ht="12.75">
      <c r="A223" s="1112">
        <v>134</v>
      </c>
      <c r="B223" s="1204" t="s">
        <v>384</v>
      </c>
      <c r="C223" s="1187" t="s">
        <v>2556</v>
      </c>
      <c r="D223" s="1189">
        <f>1347.82+20</f>
        <v>1367.82</v>
      </c>
      <c r="E223" s="1189">
        <f>D223*1.15</f>
        <v>1572.9929999999997</v>
      </c>
      <c r="F223" s="992" t="s">
        <v>2935</v>
      </c>
      <c r="G223" s="1193"/>
      <c r="I223" s="807"/>
      <c r="J223" s="807"/>
    </row>
    <row r="224" spans="1:10" ht="12.75">
      <c r="A224" s="1185">
        <v>135</v>
      </c>
      <c r="B224" s="1121" t="s">
        <v>383</v>
      </c>
      <c r="C224" s="1113" t="s">
        <v>2556</v>
      </c>
      <c r="D224" s="1115">
        <f>625.17+20</f>
        <v>645.17</v>
      </c>
      <c r="E224" s="1115">
        <f aca="true" t="shared" si="13" ref="E224:E249">D224*1.15</f>
        <v>741.9454999999999</v>
      </c>
      <c r="F224" s="875" t="s">
        <v>2170</v>
      </c>
      <c r="G224" s="1116"/>
      <c r="I224" s="807"/>
      <c r="J224" s="807"/>
    </row>
    <row r="225" spans="1:10" ht="12.75">
      <c r="A225" s="1185">
        <v>136</v>
      </c>
      <c r="B225" s="1121" t="s">
        <v>382</v>
      </c>
      <c r="C225" s="1113" t="s">
        <v>2556</v>
      </c>
      <c r="D225" s="1115">
        <f>652.17+20</f>
        <v>672.17</v>
      </c>
      <c r="E225" s="1115">
        <f t="shared" si="13"/>
        <v>772.9954999999999</v>
      </c>
      <c r="F225" s="875" t="s">
        <v>441</v>
      </c>
      <c r="G225" s="1116"/>
      <c r="I225" s="807"/>
      <c r="J225" s="807"/>
    </row>
    <row r="226" spans="1:10" ht="12.75">
      <c r="A226" s="1112">
        <v>137</v>
      </c>
      <c r="B226" s="1121" t="s">
        <v>386</v>
      </c>
      <c r="C226" s="1113" t="s">
        <v>2556</v>
      </c>
      <c r="D226" s="1115">
        <f>2956.52+20</f>
        <v>2976.52</v>
      </c>
      <c r="E226" s="1115">
        <f t="shared" si="13"/>
        <v>3422.9979999999996</v>
      </c>
      <c r="F226" s="875" t="s">
        <v>441</v>
      </c>
      <c r="G226" s="1116"/>
      <c r="I226" s="807"/>
      <c r="J226" s="807"/>
    </row>
    <row r="227" spans="1:10" ht="12.75">
      <c r="A227" s="1112">
        <v>138</v>
      </c>
      <c r="B227" s="1121" t="s">
        <v>385</v>
      </c>
      <c r="C227" s="1113" t="s">
        <v>2556</v>
      </c>
      <c r="D227" s="1115">
        <f>1347.82+20</f>
        <v>1367.82</v>
      </c>
      <c r="E227" s="1115">
        <f t="shared" si="13"/>
        <v>1572.9929999999997</v>
      </c>
      <c r="F227" s="875"/>
      <c r="G227" s="1116"/>
      <c r="I227" s="807"/>
      <c r="J227" s="807"/>
    </row>
    <row r="228" spans="1:10" ht="12.75">
      <c r="A228" s="1185">
        <v>139</v>
      </c>
      <c r="B228" s="1121" t="s">
        <v>387</v>
      </c>
      <c r="C228" s="1113" t="s">
        <v>2556</v>
      </c>
      <c r="D228" s="1115">
        <f>1434.78+20</f>
        <v>1454.78</v>
      </c>
      <c r="E228" s="1115">
        <f t="shared" si="13"/>
        <v>1672.9969999999998</v>
      </c>
      <c r="F228" s="875"/>
      <c r="G228" s="1116"/>
      <c r="I228" s="807"/>
      <c r="J228" s="807"/>
    </row>
    <row r="229" spans="1:10" ht="12.75">
      <c r="A229" s="1185">
        <v>140</v>
      </c>
      <c r="B229" s="1121" t="s">
        <v>388</v>
      </c>
      <c r="C229" s="1113" t="s">
        <v>2556</v>
      </c>
      <c r="D229" s="1115">
        <f>2086.95+20</f>
        <v>2106.95</v>
      </c>
      <c r="E229" s="1115">
        <f t="shared" si="13"/>
        <v>2422.9924999999994</v>
      </c>
      <c r="F229" s="875" t="s">
        <v>1023</v>
      </c>
      <c r="G229" s="1116"/>
      <c r="I229" s="807"/>
      <c r="J229" s="807"/>
    </row>
    <row r="230" spans="1:10" ht="12.75">
      <c r="A230" s="1112">
        <v>141</v>
      </c>
      <c r="B230" s="1121" t="s">
        <v>389</v>
      </c>
      <c r="C230" s="1113" t="s">
        <v>2556</v>
      </c>
      <c r="D230" s="1115">
        <f>1739.13+20</f>
        <v>1759.13</v>
      </c>
      <c r="E230" s="1115">
        <f t="shared" si="13"/>
        <v>2022.9995</v>
      </c>
      <c r="F230" s="875" t="s">
        <v>1023</v>
      </c>
      <c r="G230" s="1116"/>
      <c r="I230" s="807"/>
      <c r="J230" s="807"/>
    </row>
    <row r="231" spans="1:10" ht="12.75">
      <c r="A231" s="1112">
        <v>142</v>
      </c>
      <c r="B231" s="875" t="s">
        <v>2375</v>
      </c>
      <c r="C231" s="1113" t="s">
        <v>2556</v>
      </c>
      <c r="D231" s="1133">
        <f>1417.37+20</f>
        <v>1437.37</v>
      </c>
      <c r="E231" s="1115">
        <f t="shared" si="13"/>
        <v>1652.9754999999998</v>
      </c>
      <c r="F231" s="875" t="s">
        <v>1023</v>
      </c>
      <c r="G231" s="1116"/>
      <c r="I231" s="807"/>
      <c r="J231" s="807"/>
    </row>
    <row r="232" spans="1:10" ht="12.75">
      <c r="A232" s="1185">
        <v>143</v>
      </c>
      <c r="B232" s="875" t="s">
        <v>2376</v>
      </c>
      <c r="C232" s="1113" t="s">
        <v>2556</v>
      </c>
      <c r="D232" s="1133">
        <f>2913.04+200</f>
        <v>3113.04</v>
      </c>
      <c r="E232" s="1115">
        <f t="shared" si="13"/>
        <v>3579.9959999999996</v>
      </c>
      <c r="F232" s="875" t="s">
        <v>1023</v>
      </c>
      <c r="G232" s="1116"/>
      <c r="I232" s="807"/>
      <c r="J232" s="807"/>
    </row>
    <row r="233" spans="1:10" ht="12.75">
      <c r="A233" s="1185">
        <v>144</v>
      </c>
      <c r="B233" s="875" t="s">
        <v>2377</v>
      </c>
      <c r="C233" s="1113" t="s">
        <v>2556</v>
      </c>
      <c r="D233" s="1115">
        <f>2565.21+200</f>
        <v>2765.21</v>
      </c>
      <c r="E233" s="1115">
        <f t="shared" si="13"/>
        <v>3179.9914999999996</v>
      </c>
      <c r="F233" s="875" t="s">
        <v>1023</v>
      </c>
      <c r="G233" s="1116"/>
      <c r="I233" s="807"/>
      <c r="J233" s="807"/>
    </row>
    <row r="234" spans="1:10" ht="12.75">
      <c r="A234" s="1112">
        <v>145</v>
      </c>
      <c r="B234" s="875" t="s">
        <v>2378</v>
      </c>
      <c r="C234" s="1113" t="s">
        <v>2556</v>
      </c>
      <c r="D234" s="1115">
        <f>2260.86+200</f>
        <v>2460.86</v>
      </c>
      <c r="E234" s="1115">
        <f t="shared" si="13"/>
        <v>2829.989</v>
      </c>
      <c r="F234" s="875" t="s">
        <v>1023</v>
      </c>
      <c r="G234" s="1116"/>
      <c r="I234" s="807"/>
      <c r="J234" s="807"/>
    </row>
    <row r="235" spans="1:10" ht="12.75">
      <c r="A235" s="1112">
        <v>146</v>
      </c>
      <c r="B235" s="875" t="s">
        <v>2379</v>
      </c>
      <c r="C235" s="1113" t="s">
        <v>2556</v>
      </c>
      <c r="D235" s="1115">
        <f>104.34+0.25</f>
        <v>104.59</v>
      </c>
      <c r="E235" s="1115">
        <f t="shared" si="13"/>
        <v>120.2785</v>
      </c>
      <c r="F235" s="875" t="s">
        <v>2170</v>
      </c>
      <c r="G235" s="1119"/>
      <c r="I235" s="807"/>
      <c r="J235" s="807"/>
    </row>
    <row r="236" spans="1:10" ht="12.75">
      <c r="A236" s="1185">
        <v>147</v>
      </c>
      <c r="B236" s="875" t="s">
        <v>20</v>
      </c>
      <c r="C236" s="1113" t="s">
        <v>2556</v>
      </c>
      <c r="D236" s="1133">
        <f>104.34+0.25</f>
        <v>104.59</v>
      </c>
      <c r="E236" s="1115">
        <f t="shared" si="13"/>
        <v>120.2785</v>
      </c>
      <c r="F236" s="875" t="s">
        <v>2170</v>
      </c>
      <c r="G236" s="1116"/>
      <c r="I236" s="807"/>
      <c r="J236" s="807"/>
    </row>
    <row r="237" spans="1:10" ht="12.75">
      <c r="A237" s="1185">
        <v>148</v>
      </c>
      <c r="B237" s="875" t="s">
        <v>2380</v>
      </c>
      <c r="C237" s="1113" t="s">
        <v>2556</v>
      </c>
      <c r="D237" s="1115">
        <f>104.34+0.25</f>
        <v>104.59</v>
      </c>
      <c r="E237" s="1115">
        <f t="shared" si="13"/>
        <v>120.2785</v>
      </c>
      <c r="F237" s="875" t="s">
        <v>2170</v>
      </c>
      <c r="G237" s="1116"/>
      <c r="I237" s="807"/>
      <c r="J237" s="807"/>
    </row>
    <row r="238" spans="1:10" ht="12.75">
      <c r="A238" s="1112">
        <v>149</v>
      </c>
      <c r="B238" s="875" t="s">
        <v>2381</v>
      </c>
      <c r="C238" s="1113" t="s">
        <v>2556</v>
      </c>
      <c r="D238" s="1115">
        <v>39.13</v>
      </c>
      <c r="E238" s="1115">
        <f t="shared" si="13"/>
        <v>44.9995</v>
      </c>
      <c r="F238" s="875" t="s">
        <v>1023</v>
      </c>
      <c r="G238" s="1116"/>
      <c r="I238" s="807"/>
      <c r="J238" s="807"/>
    </row>
    <row r="239" spans="1:10" ht="12.75">
      <c r="A239" s="1112">
        <v>150</v>
      </c>
      <c r="B239" s="875" t="s">
        <v>2382</v>
      </c>
      <c r="C239" s="1113" t="s">
        <v>2556</v>
      </c>
      <c r="D239" s="1115">
        <v>8.7</v>
      </c>
      <c r="E239" s="1115">
        <f t="shared" si="13"/>
        <v>10.004999999999999</v>
      </c>
      <c r="F239" s="875" t="s">
        <v>1023</v>
      </c>
      <c r="G239" s="1116"/>
      <c r="I239" s="807"/>
      <c r="J239" s="807"/>
    </row>
    <row r="240" spans="1:10" ht="12.75">
      <c r="A240" s="1185">
        <v>151</v>
      </c>
      <c r="B240" s="875" t="s">
        <v>2383</v>
      </c>
      <c r="C240" s="1113" t="s">
        <v>2556</v>
      </c>
      <c r="D240" s="1115">
        <v>30.43</v>
      </c>
      <c r="E240" s="1115">
        <f t="shared" si="13"/>
        <v>34.994499999999995</v>
      </c>
      <c r="F240" s="875" t="s">
        <v>1023</v>
      </c>
      <c r="G240" s="1116"/>
      <c r="I240" s="807"/>
      <c r="J240" s="807"/>
    </row>
    <row r="241" spans="1:10" ht="12.75">
      <c r="A241" s="1185">
        <v>152</v>
      </c>
      <c r="B241" s="875" t="s">
        <v>2384</v>
      </c>
      <c r="C241" s="1113" t="s">
        <v>2556</v>
      </c>
      <c r="D241" s="1115">
        <v>7.83</v>
      </c>
      <c r="E241" s="1115">
        <f t="shared" si="13"/>
        <v>9.0045</v>
      </c>
      <c r="F241" s="875" t="s">
        <v>1023</v>
      </c>
      <c r="G241" s="1116"/>
      <c r="I241" s="807"/>
      <c r="J241" s="807"/>
    </row>
    <row r="242" spans="1:10" ht="12.75">
      <c r="A242" s="1112">
        <v>153</v>
      </c>
      <c r="B242" s="875" t="s">
        <v>2385</v>
      </c>
      <c r="C242" s="1113" t="s">
        <v>2556</v>
      </c>
      <c r="D242" s="1115">
        <v>15</v>
      </c>
      <c r="E242" s="1115">
        <f t="shared" si="13"/>
        <v>17.25</v>
      </c>
      <c r="F242" s="875" t="s">
        <v>1023</v>
      </c>
      <c r="G242" s="1116"/>
      <c r="I242" s="807"/>
      <c r="J242" s="807"/>
    </row>
    <row r="243" spans="1:10" ht="12.75">
      <c r="A243" s="1112">
        <v>154</v>
      </c>
      <c r="B243" s="875" t="s">
        <v>2386</v>
      </c>
      <c r="C243" s="1113" t="s">
        <v>2556</v>
      </c>
      <c r="D243" s="1115">
        <f>313.04+0.05</f>
        <v>313.09000000000003</v>
      </c>
      <c r="E243" s="1115">
        <f t="shared" si="13"/>
        <v>360.0535</v>
      </c>
      <c r="F243" s="875" t="s">
        <v>1023</v>
      </c>
      <c r="G243" s="1116"/>
      <c r="I243" s="807"/>
      <c r="J243" s="807"/>
    </row>
    <row r="244" spans="1:10" ht="12.75">
      <c r="A244" s="1185">
        <v>155</v>
      </c>
      <c r="B244" s="875" t="s">
        <v>2387</v>
      </c>
      <c r="C244" s="1113" t="s">
        <v>2556</v>
      </c>
      <c r="D244" s="1115">
        <f>330.43+0.05</f>
        <v>330.48</v>
      </c>
      <c r="E244" s="1115">
        <f t="shared" si="13"/>
        <v>380.05199999999996</v>
      </c>
      <c r="F244" s="875" t="s">
        <v>1023</v>
      </c>
      <c r="G244" s="1116"/>
      <c r="I244" s="807"/>
      <c r="J244" s="807"/>
    </row>
    <row r="245" spans="1:10" ht="12.75">
      <c r="A245" s="1185">
        <v>156</v>
      </c>
      <c r="B245" s="875" t="s">
        <v>2388</v>
      </c>
      <c r="C245" s="1113" t="s">
        <v>2556</v>
      </c>
      <c r="D245" s="1115">
        <f>330.43+0.05</f>
        <v>330.48</v>
      </c>
      <c r="E245" s="1115">
        <f t="shared" si="13"/>
        <v>380.05199999999996</v>
      </c>
      <c r="F245" s="875" t="s">
        <v>1023</v>
      </c>
      <c r="G245" s="1116"/>
      <c r="I245" s="807"/>
      <c r="J245" s="807"/>
    </row>
    <row r="246" spans="1:10" ht="12.75">
      <c r="A246" s="1112">
        <v>157</v>
      </c>
      <c r="B246" s="875" t="s">
        <v>2389</v>
      </c>
      <c r="C246" s="1113" t="s">
        <v>2556</v>
      </c>
      <c r="D246" s="1115">
        <f>52.17</f>
        <v>52.17</v>
      </c>
      <c r="E246" s="1115">
        <f t="shared" si="13"/>
        <v>59.9955</v>
      </c>
      <c r="F246" s="875" t="s">
        <v>1023</v>
      </c>
      <c r="G246" s="1116"/>
      <c r="I246" s="807"/>
      <c r="J246" s="807"/>
    </row>
    <row r="247" spans="1:10" ht="12.75">
      <c r="A247" s="1112">
        <v>158</v>
      </c>
      <c r="B247" s="875" t="s">
        <v>2390</v>
      </c>
      <c r="C247" s="1113" t="s">
        <v>2556</v>
      </c>
      <c r="D247" s="1115">
        <v>165.22</v>
      </c>
      <c r="E247" s="1115">
        <f t="shared" si="13"/>
        <v>190.003</v>
      </c>
      <c r="F247" s="875" t="s">
        <v>1023</v>
      </c>
      <c r="G247" s="1116"/>
      <c r="I247" s="807"/>
      <c r="J247" s="807"/>
    </row>
    <row r="248" spans="1:10" ht="12.75">
      <c r="A248" s="1185">
        <v>159</v>
      </c>
      <c r="B248" s="875" t="s">
        <v>2391</v>
      </c>
      <c r="C248" s="1113" t="s">
        <v>2556</v>
      </c>
      <c r="D248" s="1115">
        <v>252.17</v>
      </c>
      <c r="E248" s="1115">
        <f t="shared" si="13"/>
        <v>289.99549999999994</v>
      </c>
      <c r="F248" s="875" t="s">
        <v>1023</v>
      </c>
      <c r="G248" s="1116"/>
      <c r="I248" s="807"/>
      <c r="J248" s="807"/>
    </row>
    <row r="249" spans="1:10" ht="12.75">
      <c r="A249" s="1185">
        <v>160</v>
      </c>
      <c r="B249" s="875" t="s">
        <v>2392</v>
      </c>
      <c r="C249" s="1113" t="s">
        <v>2556</v>
      </c>
      <c r="D249" s="1115">
        <v>486.96</v>
      </c>
      <c r="E249" s="1115">
        <f t="shared" si="13"/>
        <v>560.0039999999999</v>
      </c>
      <c r="F249" s="875" t="s">
        <v>1023</v>
      </c>
      <c r="G249" s="1116"/>
      <c r="I249" s="807"/>
      <c r="J249" s="807"/>
    </row>
    <row r="250" spans="1:7" ht="12.75">
      <c r="A250" s="1112">
        <v>161</v>
      </c>
      <c r="B250" s="875" t="s">
        <v>2393</v>
      </c>
      <c r="C250" s="1113" t="s">
        <v>92</v>
      </c>
      <c r="D250" s="1115">
        <v>13.043</v>
      </c>
      <c r="E250" s="1115">
        <f>D250*1.15</f>
        <v>14.999449999999998</v>
      </c>
      <c r="F250" s="875" t="s">
        <v>1023</v>
      </c>
      <c r="G250" s="1116"/>
    </row>
    <row r="251" spans="1:7" ht="12.75">
      <c r="A251" s="1112">
        <v>162</v>
      </c>
      <c r="B251" s="875" t="s">
        <v>2394</v>
      </c>
      <c r="C251" s="1113" t="s">
        <v>92</v>
      </c>
      <c r="D251" s="1115">
        <v>17.39</v>
      </c>
      <c r="E251" s="1115">
        <f aca="true" t="shared" si="14" ref="E251:E278">D251*1.15</f>
        <v>19.9985</v>
      </c>
      <c r="F251" s="875" t="s">
        <v>1023</v>
      </c>
      <c r="G251" s="1116"/>
    </row>
    <row r="252" spans="1:7" ht="12.75">
      <c r="A252" s="1185">
        <v>163</v>
      </c>
      <c r="B252" s="875" t="s">
        <v>2395</v>
      </c>
      <c r="C252" s="1113" t="s">
        <v>92</v>
      </c>
      <c r="D252" s="1115">
        <v>24.63</v>
      </c>
      <c r="E252" s="1115">
        <f t="shared" si="14"/>
        <v>28.324499999999997</v>
      </c>
      <c r="F252" s="875" t="s">
        <v>1023</v>
      </c>
      <c r="G252" s="1116"/>
    </row>
    <row r="253" spans="1:7" ht="12.75">
      <c r="A253" s="1185">
        <v>164</v>
      </c>
      <c r="B253" s="875" t="s">
        <v>2396</v>
      </c>
      <c r="C253" s="1113" t="s">
        <v>92</v>
      </c>
      <c r="D253" s="1115">
        <v>34.5</v>
      </c>
      <c r="E253" s="1115">
        <f t="shared" si="14"/>
        <v>39.675</v>
      </c>
      <c r="F253" s="875" t="s">
        <v>1023</v>
      </c>
      <c r="G253" s="1116"/>
    </row>
    <row r="254" spans="1:7" ht="12.75">
      <c r="A254" s="1112">
        <v>165</v>
      </c>
      <c r="B254" s="875" t="s">
        <v>2397</v>
      </c>
      <c r="C254" s="1113" t="s">
        <v>92</v>
      </c>
      <c r="D254" s="1115">
        <v>42.03</v>
      </c>
      <c r="E254" s="1115">
        <f t="shared" si="14"/>
        <v>48.3345</v>
      </c>
      <c r="F254" s="875" t="s">
        <v>1023</v>
      </c>
      <c r="G254" s="1116"/>
    </row>
    <row r="255" spans="1:7" ht="12.75">
      <c r="A255" s="1112">
        <v>166</v>
      </c>
      <c r="B255" s="875" t="s">
        <v>2398</v>
      </c>
      <c r="C255" s="1113" t="s">
        <v>92</v>
      </c>
      <c r="D255" s="1115">
        <v>50.72</v>
      </c>
      <c r="E255" s="1115">
        <f t="shared" si="14"/>
        <v>58.327999999999996</v>
      </c>
      <c r="F255" s="875" t="s">
        <v>1023</v>
      </c>
      <c r="G255" s="1116"/>
    </row>
    <row r="256" spans="1:7" ht="12.75">
      <c r="A256" s="1185">
        <v>167</v>
      </c>
      <c r="B256" s="875" t="s">
        <v>2399</v>
      </c>
      <c r="C256" s="1113" t="s">
        <v>92</v>
      </c>
      <c r="D256" s="1115">
        <v>226.09</v>
      </c>
      <c r="E256" s="1115">
        <f t="shared" si="14"/>
        <v>260.0035</v>
      </c>
      <c r="F256" s="875" t="s">
        <v>1023</v>
      </c>
      <c r="G256" s="1116"/>
    </row>
    <row r="257" spans="1:7" ht="12.75">
      <c r="A257" s="1185">
        <v>168</v>
      </c>
      <c r="B257" s="875" t="s">
        <v>2400</v>
      </c>
      <c r="C257" s="1113" t="s">
        <v>92</v>
      </c>
      <c r="D257" s="1115">
        <v>811.304</v>
      </c>
      <c r="E257" s="1115">
        <f t="shared" si="14"/>
        <v>932.9995999999999</v>
      </c>
      <c r="F257" s="875" t="s">
        <v>1023</v>
      </c>
      <c r="G257" s="1116"/>
    </row>
    <row r="258" spans="1:7" ht="12.75">
      <c r="A258" s="1112">
        <v>169</v>
      </c>
      <c r="B258" s="875" t="s">
        <v>2393</v>
      </c>
      <c r="C258" s="1113" t="s">
        <v>92</v>
      </c>
      <c r="D258" s="1115">
        <v>13.03</v>
      </c>
      <c r="E258" s="1115">
        <f t="shared" si="14"/>
        <v>14.984499999999999</v>
      </c>
      <c r="F258" s="875" t="s">
        <v>1023</v>
      </c>
      <c r="G258" s="1116"/>
    </row>
    <row r="259" spans="1:7" ht="12.75">
      <c r="A259" s="1112">
        <v>170</v>
      </c>
      <c r="B259" s="875" t="s">
        <v>2394</v>
      </c>
      <c r="C259" s="1113" t="s">
        <v>92</v>
      </c>
      <c r="D259" s="1115">
        <v>17.833</v>
      </c>
      <c r="E259" s="1115">
        <f t="shared" si="14"/>
        <v>20.507949999999997</v>
      </c>
      <c r="F259" s="875" t="s">
        <v>1023</v>
      </c>
      <c r="G259" s="1116"/>
    </row>
    <row r="260" spans="1:7" ht="12.75">
      <c r="A260" s="1185">
        <v>171</v>
      </c>
      <c r="B260" s="875" t="s">
        <v>2395</v>
      </c>
      <c r="C260" s="1113" t="s">
        <v>92</v>
      </c>
      <c r="D260" s="1115">
        <f>27.304*1.5</f>
        <v>40.955999999999996</v>
      </c>
      <c r="E260" s="1115">
        <f t="shared" si="14"/>
        <v>47.09939999999999</v>
      </c>
      <c r="F260" s="875" t="s">
        <v>1023</v>
      </c>
      <c r="G260" s="1116"/>
    </row>
    <row r="261" spans="1:7" ht="12.75">
      <c r="A261" s="1185">
        <v>172</v>
      </c>
      <c r="B261" s="875" t="s">
        <v>2396</v>
      </c>
      <c r="C261" s="1113" t="s">
        <v>92</v>
      </c>
      <c r="D261" s="1115">
        <v>32.59</v>
      </c>
      <c r="E261" s="1115">
        <f t="shared" si="14"/>
        <v>37.478500000000004</v>
      </c>
      <c r="F261" s="875" t="s">
        <v>1023</v>
      </c>
      <c r="G261" s="1116"/>
    </row>
    <row r="262" spans="1:7" ht="12.75">
      <c r="A262" s="1112">
        <v>173</v>
      </c>
      <c r="B262" s="875" t="s">
        <v>2397</v>
      </c>
      <c r="C262" s="1113" t="s">
        <v>92</v>
      </c>
      <c r="D262" s="1115">
        <v>39.413</v>
      </c>
      <c r="E262" s="1115">
        <f t="shared" si="14"/>
        <v>45.324949999999994</v>
      </c>
      <c r="F262" s="875" t="s">
        <v>1023</v>
      </c>
      <c r="G262" s="1116"/>
    </row>
    <row r="263" spans="1:7" ht="12.75">
      <c r="A263" s="1112">
        <v>174</v>
      </c>
      <c r="B263" s="875" t="s">
        <v>2398</v>
      </c>
      <c r="C263" s="1113" t="s">
        <v>92</v>
      </c>
      <c r="D263" s="1115">
        <v>54.06</v>
      </c>
      <c r="E263" s="1115">
        <f t="shared" si="14"/>
        <v>62.169</v>
      </c>
      <c r="F263" s="875" t="s">
        <v>1023</v>
      </c>
      <c r="G263" s="1116"/>
    </row>
    <row r="264" spans="1:7" ht="12.75">
      <c r="A264" s="1185">
        <v>175</v>
      </c>
      <c r="B264" s="875" t="s">
        <v>1334</v>
      </c>
      <c r="C264" s="1113" t="s">
        <v>92</v>
      </c>
      <c r="D264" s="1115">
        <f>70/6</f>
        <v>11.666666666666666</v>
      </c>
      <c r="E264" s="1115">
        <f t="shared" si="14"/>
        <v>13.416666666666664</v>
      </c>
      <c r="F264" s="875" t="s">
        <v>2323</v>
      </c>
      <c r="G264" s="1116"/>
    </row>
    <row r="265" spans="1:7" ht="12.75">
      <c r="A265" s="1185">
        <v>176</v>
      </c>
      <c r="B265" s="1121" t="s">
        <v>392</v>
      </c>
      <c r="C265" s="1113" t="s">
        <v>92</v>
      </c>
      <c r="D265" s="1115">
        <f>130/6</f>
        <v>21.666666666666668</v>
      </c>
      <c r="E265" s="1115">
        <f t="shared" si="14"/>
        <v>24.916666666666668</v>
      </c>
      <c r="F265" s="875" t="s">
        <v>2323</v>
      </c>
      <c r="G265" s="1116"/>
    </row>
    <row r="266" spans="1:7" ht="12.75">
      <c r="A266" s="1112">
        <v>177</v>
      </c>
      <c r="B266" s="1121" t="s">
        <v>208</v>
      </c>
      <c r="C266" s="1113" t="s">
        <v>92</v>
      </c>
      <c r="D266" s="1115">
        <f>180/6</f>
        <v>30</v>
      </c>
      <c r="E266" s="1115">
        <f t="shared" si="14"/>
        <v>34.5</v>
      </c>
      <c r="F266" s="875" t="s">
        <v>2323</v>
      </c>
      <c r="G266" s="1116"/>
    </row>
    <row r="267" spans="1:7" ht="12.75">
      <c r="A267" s="1112">
        <v>178</v>
      </c>
      <c r="B267" s="1121" t="s">
        <v>393</v>
      </c>
      <c r="C267" s="1113" t="s">
        <v>92</v>
      </c>
      <c r="D267" s="1115">
        <f>235/6</f>
        <v>39.166666666666664</v>
      </c>
      <c r="E267" s="1115">
        <f t="shared" si="14"/>
        <v>45.04166666666666</v>
      </c>
      <c r="F267" s="875" t="s">
        <v>2323</v>
      </c>
      <c r="G267" s="1116"/>
    </row>
    <row r="268" spans="1:7" ht="12.75">
      <c r="A268" s="1185">
        <v>179</v>
      </c>
      <c r="B268" s="1121" t="s">
        <v>212</v>
      </c>
      <c r="C268" s="1113" t="s">
        <v>92</v>
      </c>
      <c r="D268" s="1115">
        <f>415/6</f>
        <v>69.16666666666667</v>
      </c>
      <c r="E268" s="1115">
        <f t="shared" si="14"/>
        <v>79.54166666666667</v>
      </c>
      <c r="F268" s="875" t="s">
        <v>2323</v>
      </c>
      <c r="G268" s="1116"/>
    </row>
    <row r="269" spans="1:7" ht="12.75">
      <c r="A269" s="1185">
        <v>180</v>
      </c>
      <c r="B269" s="1121" t="s">
        <v>469</v>
      </c>
      <c r="C269" s="1113" t="s">
        <v>92</v>
      </c>
      <c r="D269" s="1115">
        <f>700/6</f>
        <v>116.66666666666667</v>
      </c>
      <c r="E269" s="1115">
        <f t="shared" si="14"/>
        <v>134.16666666666666</v>
      </c>
      <c r="F269" s="875" t="s">
        <v>2323</v>
      </c>
      <c r="G269" s="1116"/>
    </row>
    <row r="270" spans="1:8" ht="12.75">
      <c r="A270" s="1112">
        <v>181</v>
      </c>
      <c r="B270" s="875" t="s">
        <v>470</v>
      </c>
      <c r="C270" s="1113" t="s">
        <v>92</v>
      </c>
      <c r="D270" s="1115">
        <v>172.63</v>
      </c>
      <c r="E270" s="1115">
        <f t="shared" si="14"/>
        <v>198.5245</v>
      </c>
      <c r="F270" s="875" t="s">
        <v>2323</v>
      </c>
      <c r="G270" s="1116"/>
      <c r="H270" s="807"/>
    </row>
    <row r="271" spans="1:8" ht="12.75">
      <c r="A271" s="1112">
        <v>182</v>
      </c>
      <c r="B271" s="875" t="s">
        <v>471</v>
      </c>
      <c r="C271" s="1113" t="s">
        <v>92</v>
      </c>
      <c r="D271" s="1115">
        <v>178.01</v>
      </c>
      <c r="E271" s="1115">
        <f t="shared" si="14"/>
        <v>204.71149999999997</v>
      </c>
      <c r="F271" s="875" t="s">
        <v>2323</v>
      </c>
      <c r="G271" s="1116"/>
      <c r="H271" s="807"/>
    </row>
    <row r="272" spans="1:7" ht="14.25">
      <c r="A272" s="1185">
        <v>183</v>
      </c>
      <c r="B272" s="875" t="s">
        <v>871</v>
      </c>
      <c r="C272" s="1113" t="s">
        <v>872</v>
      </c>
      <c r="D272" s="1115">
        <v>5.35</v>
      </c>
      <c r="E272" s="1115">
        <f t="shared" si="14"/>
        <v>6.152499999999999</v>
      </c>
      <c r="F272" s="875" t="s">
        <v>2323</v>
      </c>
      <c r="G272" s="1116"/>
    </row>
    <row r="273" spans="1:7" ht="14.25">
      <c r="A273" s="1185">
        <v>184</v>
      </c>
      <c r="B273" s="875" t="s">
        <v>2419</v>
      </c>
      <c r="C273" s="1113" t="s">
        <v>872</v>
      </c>
      <c r="D273" s="1115">
        <v>12.14</v>
      </c>
      <c r="E273" s="1115">
        <f t="shared" si="14"/>
        <v>13.961</v>
      </c>
      <c r="F273" s="875" t="s">
        <v>2323</v>
      </c>
      <c r="G273" s="1116"/>
    </row>
    <row r="274" spans="1:7" ht="14.25">
      <c r="A274" s="1112">
        <v>185</v>
      </c>
      <c r="B274" s="875" t="s">
        <v>2420</v>
      </c>
      <c r="C274" s="1113" t="s">
        <v>872</v>
      </c>
      <c r="D274" s="1115">
        <v>22.48</v>
      </c>
      <c r="E274" s="1115">
        <f t="shared" si="14"/>
        <v>25.851999999999997</v>
      </c>
      <c r="F274" s="875" t="s">
        <v>2323</v>
      </c>
      <c r="G274" s="1116"/>
    </row>
    <row r="275" spans="1:7" ht="14.25">
      <c r="A275" s="1112">
        <v>186</v>
      </c>
      <c r="B275" s="875" t="s">
        <v>2421</v>
      </c>
      <c r="C275" s="1113" t="s">
        <v>872</v>
      </c>
      <c r="D275" s="1115">
        <v>25.58</v>
      </c>
      <c r="E275" s="1115">
        <f t="shared" si="14"/>
        <v>29.416999999999994</v>
      </c>
      <c r="F275" s="875" t="s">
        <v>2323</v>
      </c>
      <c r="G275" s="1116"/>
    </row>
    <row r="276" spans="1:7" ht="14.25">
      <c r="A276" s="1185">
        <v>187</v>
      </c>
      <c r="B276" s="875" t="s">
        <v>2422</v>
      </c>
      <c r="C276" s="1113" t="s">
        <v>872</v>
      </c>
      <c r="D276" s="1115">
        <v>49.73</v>
      </c>
      <c r="E276" s="1115">
        <f t="shared" si="14"/>
        <v>57.189499999999995</v>
      </c>
      <c r="F276" s="875" t="s">
        <v>2323</v>
      </c>
      <c r="G276" s="1116"/>
    </row>
    <row r="277" spans="1:7" ht="12.75">
      <c r="A277" s="1185">
        <v>188</v>
      </c>
      <c r="B277" s="1121" t="s">
        <v>390</v>
      </c>
      <c r="C277" s="1134" t="s">
        <v>86</v>
      </c>
      <c r="D277" s="1115">
        <v>23.48</v>
      </c>
      <c r="E277" s="1115">
        <f t="shared" si="14"/>
        <v>27.002</v>
      </c>
      <c r="F277" s="875" t="s">
        <v>1023</v>
      </c>
      <c r="G277" s="1116"/>
    </row>
    <row r="278" spans="1:7" ht="12.75">
      <c r="A278" s="1112">
        <v>189</v>
      </c>
      <c r="B278" s="1135" t="s">
        <v>391</v>
      </c>
      <c r="C278" s="1134" t="s">
        <v>86</v>
      </c>
      <c r="D278" s="877">
        <v>80</v>
      </c>
      <c r="E278" s="877">
        <f t="shared" si="14"/>
        <v>92</v>
      </c>
      <c r="F278" s="875" t="s">
        <v>1023</v>
      </c>
      <c r="G278" s="1116"/>
    </row>
    <row r="279" spans="1:7" ht="12.75">
      <c r="A279" s="1112">
        <v>190</v>
      </c>
      <c r="B279" s="1135" t="s">
        <v>401</v>
      </c>
      <c r="C279" s="1134"/>
      <c r="D279" s="877"/>
      <c r="E279" s="877"/>
      <c r="F279" s="875"/>
      <c r="G279" s="1116"/>
    </row>
    <row r="280" spans="1:7" ht="12.75">
      <c r="A280" s="1185">
        <v>191</v>
      </c>
      <c r="B280" s="1135" t="s">
        <v>402</v>
      </c>
      <c r="C280" s="1134"/>
      <c r="D280" s="877"/>
      <c r="E280" s="877"/>
      <c r="F280" s="875"/>
      <c r="G280" s="1116"/>
    </row>
    <row r="281" spans="1:7" ht="12.75">
      <c r="A281" s="1185">
        <v>192</v>
      </c>
      <c r="B281" s="1135" t="s">
        <v>403</v>
      </c>
      <c r="C281" s="1134"/>
      <c r="D281" s="877"/>
      <c r="E281" s="877"/>
      <c r="F281" s="875"/>
      <c r="G281" s="1116"/>
    </row>
    <row r="282" spans="1:7" ht="12.75">
      <c r="A282" s="1112">
        <v>193</v>
      </c>
      <c r="B282" s="1135" t="s">
        <v>404</v>
      </c>
      <c r="C282" s="1134"/>
      <c r="D282" s="877"/>
      <c r="E282" s="877"/>
      <c r="F282" s="875"/>
      <c r="G282" s="1116"/>
    </row>
    <row r="283" spans="1:7" ht="12.75">
      <c r="A283" s="1112">
        <v>194</v>
      </c>
      <c r="B283" s="1135" t="s">
        <v>405</v>
      </c>
      <c r="C283" s="1134"/>
      <c r="D283" s="877"/>
      <c r="E283" s="877"/>
      <c r="F283" s="875"/>
      <c r="G283" s="1116"/>
    </row>
    <row r="284" spans="1:7" ht="12.75">
      <c r="A284" s="1185">
        <v>195</v>
      </c>
      <c r="B284" s="1135" t="s">
        <v>406</v>
      </c>
      <c r="C284" s="1134"/>
      <c r="D284" s="877"/>
      <c r="E284" s="877"/>
      <c r="F284" s="875"/>
      <c r="G284" s="1116"/>
    </row>
    <row r="285" spans="1:7" ht="12.75">
      <c r="A285" s="1185">
        <v>196</v>
      </c>
      <c r="B285" s="1135" t="s">
        <v>407</v>
      </c>
      <c r="C285" s="1134"/>
      <c r="D285" s="877"/>
      <c r="E285" s="877"/>
      <c r="F285" s="875"/>
      <c r="G285" s="1116"/>
    </row>
    <row r="286" spans="1:7" ht="12.75">
      <c r="A286" s="1112"/>
      <c r="B286" s="1120" t="s">
        <v>2237</v>
      </c>
      <c r="C286" s="1113"/>
      <c r="D286" s="877"/>
      <c r="E286" s="877"/>
      <c r="F286" s="877"/>
      <c r="G286" s="1116"/>
    </row>
    <row r="287" spans="1:7" ht="12.75">
      <c r="A287" s="1112"/>
      <c r="B287" s="1120" t="s">
        <v>2238</v>
      </c>
      <c r="C287" s="1113"/>
      <c r="D287" s="877"/>
      <c r="E287" s="877"/>
      <c r="F287" s="877"/>
      <c r="G287" s="1116"/>
    </row>
    <row r="288" spans="1:7" ht="12.75">
      <c r="A288" s="1112">
        <v>197</v>
      </c>
      <c r="B288" s="1121" t="s">
        <v>2242</v>
      </c>
      <c r="C288" s="1113" t="s">
        <v>1561</v>
      </c>
      <c r="D288" s="877">
        <v>4510</v>
      </c>
      <c r="E288" s="877">
        <f>D288*1.15</f>
        <v>5186.5</v>
      </c>
      <c r="F288" s="877" t="s">
        <v>1937</v>
      </c>
      <c r="G288" s="1259" t="s">
        <v>1872</v>
      </c>
    </row>
    <row r="289" spans="1:7" ht="12.75">
      <c r="A289" s="1112">
        <v>198</v>
      </c>
      <c r="B289" s="1121" t="s">
        <v>2243</v>
      </c>
      <c r="C289" s="1113" t="s">
        <v>1561</v>
      </c>
      <c r="D289" s="877">
        <v>5610</v>
      </c>
      <c r="E289" s="877">
        <f aca="true" t="shared" si="15" ref="E289:E301">D289*1.15</f>
        <v>6451.499999999999</v>
      </c>
      <c r="F289" s="877" t="s">
        <v>1937</v>
      </c>
      <c r="G289" s="1259" t="s">
        <v>1872</v>
      </c>
    </row>
    <row r="290" spans="1:7" ht="12.75">
      <c r="A290" s="1112">
        <v>199</v>
      </c>
      <c r="B290" s="1121" t="s">
        <v>745</v>
      </c>
      <c r="C290" s="1113" t="s">
        <v>1561</v>
      </c>
      <c r="D290" s="877">
        <v>7040</v>
      </c>
      <c r="E290" s="877">
        <f t="shared" si="15"/>
        <v>8095.999999999999</v>
      </c>
      <c r="F290" s="877" t="s">
        <v>1937</v>
      </c>
      <c r="G290" s="1259" t="s">
        <v>1872</v>
      </c>
    </row>
    <row r="291" spans="1:7" ht="12.75">
      <c r="A291" s="1112">
        <v>200</v>
      </c>
      <c r="B291" s="1121" t="s">
        <v>746</v>
      </c>
      <c r="C291" s="1113" t="s">
        <v>1561</v>
      </c>
      <c r="D291" s="877">
        <v>8910</v>
      </c>
      <c r="E291" s="877">
        <f t="shared" si="15"/>
        <v>10246.5</v>
      </c>
      <c r="F291" s="877" t="s">
        <v>1937</v>
      </c>
      <c r="G291" s="1259" t="s">
        <v>1872</v>
      </c>
    </row>
    <row r="292" spans="1:7" ht="12.75">
      <c r="A292" s="1112">
        <v>201</v>
      </c>
      <c r="B292" s="1121" t="s">
        <v>747</v>
      </c>
      <c r="C292" s="1113" t="s">
        <v>1561</v>
      </c>
      <c r="D292" s="877">
        <v>6160</v>
      </c>
      <c r="E292" s="877">
        <f t="shared" si="15"/>
        <v>7083.999999999999</v>
      </c>
      <c r="F292" s="877" t="s">
        <v>1937</v>
      </c>
      <c r="G292" s="1259" t="s">
        <v>1872</v>
      </c>
    </row>
    <row r="293" spans="1:7" ht="12.75">
      <c r="A293" s="1112">
        <v>202</v>
      </c>
      <c r="B293" s="1121" t="s">
        <v>748</v>
      </c>
      <c r="C293" s="1113" t="s">
        <v>1561</v>
      </c>
      <c r="D293" s="877">
        <v>6930</v>
      </c>
      <c r="E293" s="877">
        <f t="shared" si="15"/>
        <v>7969.499999999999</v>
      </c>
      <c r="F293" s="877" t="s">
        <v>1937</v>
      </c>
      <c r="G293" s="1259" t="s">
        <v>1872</v>
      </c>
    </row>
    <row r="294" spans="1:7" ht="12.75">
      <c r="A294" s="1112">
        <v>203</v>
      </c>
      <c r="B294" s="1121" t="s">
        <v>749</v>
      </c>
      <c r="C294" s="1113" t="s">
        <v>1561</v>
      </c>
      <c r="D294" s="877">
        <v>8910</v>
      </c>
      <c r="E294" s="877">
        <f t="shared" si="15"/>
        <v>10246.5</v>
      </c>
      <c r="F294" s="877" t="s">
        <v>1937</v>
      </c>
      <c r="G294" s="1259" t="s">
        <v>1872</v>
      </c>
    </row>
    <row r="295" spans="1:7" ht="12.75">
      <c r="A295" s="1112">
        <v>204</v>
      </c>
      <c r="B295" s="1121" t="s">
        <v>750</v>
      </c>
      <c r="C295" s="1113" t="s">
        <v>1561</v>
      </c>
      <c r="D295" s="877">
        <v>8580</v>
      </c>
      <c r="E295" s="877">
        <f t="shared" si="15"/>
        <v>9867</v>
      </c>
      <c r="F295" s="877" t="s">
        <v>1937</v>
      </c>
      <c r="G295" s="1259" t="s">
        <v>1872</v>
      </c>
    </row>
    <row r="296" spans="1:7" ht="12.75">
      <c r="A296" s="1112">
        <v>205</v>
      </c>
      <c r="B296" s="1121" t="s">
        <v>751</v>
      </c>
      <c r="C296" s="1113" t="s">
        <v>1561</v>
      </c>
      <c r="D296" s="877">
        <v>869</v>
      </c>
      <c r="E296" s="877">
        <f t="shared" si="15"/>
        <v>999.3499999999999</v>
      </c>
      <c r="F296" s="877" t="s">
        <v>1937</v>
      </c>
      <c r="G296" s="1259" t="s">
        <v>1872</v>
      </c>
    </row>
    <row r="297" spans="1:7" ht="12.75">
      <c r="A297" s="1112">
        <v>206</v>
      </c>
      <c r="B297" s="1121" t="s">
        <v>752</v>
      </c>
      <c r="C297" s="1113" t="s">
        <v>1561</v>
      </c>
      <c r="D297" s="877">
        <v>1210</v>
      </c>
      <c r="E297" s="877">
        <f t="shared" si="15"/>
        <v>1391.5</v>
      </c>
      <c r="F297" s="877" t="s">
        <v>1937</v>
      </c>
      <c r="G297" s="1259" t="s">
        <v>1872</v>
      </c>
    </row>
    <row r="298" spans="1:7" ht="12.75">
      <c r="A298" s="1112">
        <v>207</v>
      </c>
      <c r="B298" s="1121" t="s">
        <v>753</v>
      </c>
      <c r="C298" s="1113" t="s">
        <v>1561</v>
      </c>
      <c r="D298" s="877">
        <v>2035</v>
      </c>
      <c r="E298" s="877">
        <f t="shared" si="15"/>
        <v>2340.25</v>
      </c>
      <c r="F298" s="877" t="s">
        <v>1937</v>
      </c>
      <c r="G298" s="1259" t="s">
        <v>1872</v>
      </c>
    </row>
    <row r="299" spans="1:7" ht="12.75">
      <c r="A299" s="1112">
        <v>208</v>
      </c>
      <c r="B299" s="1121" t="s">
        <v>2239</v>
      </c>
      <c r="C299" s="1113" t="s">
        <v>1561</v>
      </c>
      <c r="D299" s="877">
        <v>1952.5</v>
      </c>
      <c r="E299" s="877">
        <f t="shared" si="15"/>
        <v>2245.375</v>
      </c>
      <c r="F299" s="877" t="s">
        <v>1937</v>
      </c>
      <c r="G299" s="1259" t="s">
        <v>1872</v>
      </c>
    </row>
    <row r="300" spans="1:7" ht="12.75">
      <c r="A300" s="1112">
        <v>209</v>
      </c>
      <c r="B300" s="1121" t="s">
        <v>2240</v>
      </c>
      <c r="C300" s="1113" t="s">
        <v>1561</v>
      </c>
      <c r="D300" s="877">
        <v>2673</v>
      </c>
      <c r="E300" s="877">
        <f t="shared" si="15"/>
        <v>3073.95</v>
      </c>
      <c r="F300" s="877" t="s">
        <v>1937</v>
      </c>
      <c r="G300" s="1259" t="s">
        <v>1872</v>
      </c>
    </row>
    <row r="301" spans="1:7" ht="12.75">
      <c r="A301" s="1112">
        <v>210</v>
      </c>
      <c r="B301" s="1121" t="s">
        <v>2241</v>
      </c>
      <c r="C301" s="1113" t="s">
        <v>1561</v>
      </c>
      <c r="D301" s="877">
        <v>2821</v>
      </c>
      <c r="E301" s="877">
        <f t="shared" si="15"/>
        <v>3244.1499999999996</v>
      </c>
      <c r="F301" s="877" t="s">
        <v>1937</v>
      </c>
      <c r="G301" s="1259" t="s">
        <v>1872</v>
      </c>
    </row>
    <row r="302" spans="1:7" ht="12.75">
      <c r="A302" s="1112"/>
      <c r="B302" s="1120" t="s">
        <v>2171</v>
      </c>
      <c r="C302" s="1113"/>
      <c r="D302" s="877"/>
      <c r="E302" s="877"/>
      <c r="F302" s="877"/>
      <c r="G302" s="1116"/>
    </row>
    <row r="303" spans="1:8" ht="12.75">
      <c r="A303" s="1112"/>
      <c r="B303" s="1120" t="s">
        <v>754</v>
      </c>
      <c r="C303" s="1113"/>
      <c r="D303" s="877"/>
      <c r="E303" s="877"/>
      <c r="F303" s="877"/>
      <c r="G303" s="1116"/>
      <c r="H303" s="438">
        <f>1.8*1</f>
        <v>1.8</v>
      </c>
    </row>
    <row r="304" spans="1:7" ht="14.25">
      <c r="A304" s="1112">
        <v>211</v>
      </c>
      <c r="B304" s="1121" t="s">
        <v>1269</v>
      </c>
      <c r="C304" s="1113" t="s">
        <v>2938</v>
      </c>
      <c r="D304" s="877">
        <v>1.95</v>
      </c>
      <c r="E304" s="877">
        <f>D304*1.15</f>
        <v>2.2424999999999997</v>
      </c>
      <c r="F304" s="877" t="s">
        <v>1936</v>
      </c>
      <c r="G304" s="1119"/>
    </row>
    <row r="305" spans="1:7" ht="14.25">
      <c r="A305" s="1112">
        <v>212</v>
      </c>
      <c r="B305" s="1121" t="s">
        <v>755</v>
      </c>
      <c r="C305" s="1113" t="s">
        <v>2938</v>
      </c>
      <c r="D305" s="877">
        <v>3.62</v>
      </c>
      <c r="E305" s="877">
        <f>D305*1.15</f>
        <v>4.162999999999999</v>
      </c>
      <c r="F305" s="877" t="s">
        <v>1936</v>
      </c>
      <c r="G305" s="1119"/>
    </row>
    <row r="306" spans="1:8" ht="14.25">
      <c r="A306" s="1112">
        <v>213</v>
      </c>
      <c r="B306" s="1121" t="s">
        <v>756</v>
      </c>
      <c r="C306" s="1113" t="s">
        <v>2938</v>
      </c>
      <c r="D306" s="877">
        <v>5.54</v>
      </c>
      <c r="E306" s="877">
        <f aca="true" t="shared" si="16" ref="E306:E314">D306*1.15</f>
        <v>6.3709999999999996</v>
      </c>
      <c r="F306" s="877" t="s">
        <v>1936</v>
      </c>
      <c r="G306" s="1116"/>
      <c r="H306" s="879">
        <v>4.04</v>
      </c>
    </row>
    <row r="307" spans="1:8" ht="14.25">
      <c r="A307" s="1112">
        <v>214</v>
      </c>
      <c r="B307" s="1121" t="s">
        <v>757</v>
      </c>
      <c r="C307" s="1113" t="s">
        <v>2938</v>
      </c>
      <c r="D307" s="877">
        <v>8.6</v>
      </c>
      <c r="E307" s="877">
        <f t="shared" si="16"/>
        <v>9.889999999999999</v>
      </c>
      <c r="F307" s="877" t="s">
        <v>1936</v>
      </c>
      <c r="G307" s="1116"/>
      <c r="H307" s="879">
        <v>6.35</v>
      </c>
    </row>
    <row r="308" spans="1:8" ht="14.25">
      <c r="A308" s="1112">
        <v>215</v>
      </c>
      <c r="B308" s="1121" t="s">
        <v>1270</v>
      </c>
      <c r="C308" s="1113" t="s">
        <v>2938</v>
      </c>
      <c r="D308" s="877">
        <v>18.44</v>
      </c>
      <c r="E308" s="877">
        <f t="shared" si="16"/>
        <v>21.206</v>
      </c>
      <c r="F308" s="877" t="s">
        <v>1936</v>
      </c>
      <c r="G308" s="1116"/>
      <c r="H308" s="879">
        <v>11.39</v>
      </c>
    </row>
    <row r="309" spans="1:8" ht="14.25">
      <c r="A309" s="1112">
        <v>216</v>
      </c>
      <c r="B309" s="1121" t="s">
        <v>758</v>
      </c>
      <c r="C309" s="1113" t="s">
        <v>2938</v>
      </c>
      <c r="D309" s="877">
        <v>29.46</v>
      </c>
      <c r="E309" s="877">
        <f t="shared" si="16"/>
        <v>33.879</v>
      </c>
      <c r="F309" s="877" t="s">
        <v>1936</v>
      </c>
      <c r="G309" s="1116"/>
      <c r="H309" s="879">
        <v>11.39</v>
      </c>
    </row>
    <row r="310" spans="1:8" ht="14.25">
      <c r="A310" s="1112">
        <v>217</v>
      </c>
      <c r="B310" s="1121" t="s">
        <v>623</v>
      </c>
      <c r="C310" s="1113" t="s">
        <v>2938</v>
      </c>
      <c r="D310" s="877">
        <v>29.46</v>
      </c>
      <c r="E310" s="877">
        <f t="shared" si="16"/>
        <v>33.879</v>
      </c>
      <c r="F310" s="877" t="s">
        <v>1936</v>
      </c>
      <c r="G310" s="1116"/>
      <c r="H310" s="879">
        <v>18.7</v>
      </c>
    </row>
    <row r="311" spans="1:8" ht="14.25">
      <c r="A311" s="1112">
        <v>218</v>
      </c>
      <c r="B311" s="1121" t="s">
        <v>624</v>
      </c>
      <c r="C311" s="1113" t="s">
        <v>2938</v>
      </c>
      <c r="D311" s="877">
        <v>46.62</v>
      </c>
      <c r="E311" s="877">
        <f t="shared" si="16"/>
        <v>53.61299999999999</v>
      </c>
      <c r="F311" s="877" t="s">
        <v>1936</v>
      </c>
      <c r="G311" s="1116"/>
      <c r="H311" s="879">
        <v>28.26</v>
      </c>
    </row>
    <row r="312" spans="1:8" ht="14.25">
      <c r="A312" s="1112">
        <v>219</v>
      </c>
      <c r="B312" s="1121" t="s">
        <v>625</v>
      </c>
      <c r="C312" s="1113" t="s">
        <v>2938</v>
      </c>
      <c r="D312" s="877">
        <v>91.54</v>
      </c>
      <c r="E312" s="877">
        <f t="shared" si="16"/>
        <v>105.271</v>
      </c>
      <c r="F312" s="877" t="s">
        <v>1936</v>
      </c>
      <c r="G312" s="1116"/>
      <c r="H312" s="879">
        <v>38.35</v>
      </c>
    </row>
    <row r="313" spans="1:8" ht="14.25">
      <c r="A313" s="1112">
        <v>220</v>
      </c>
      <c r="B313" s="1121" t="s">
        <v>626</v>
      </c>
      <c r="C313" s="1113" t="s">
        <v>2938</v>
      </c>
      <c r="D313" s="877">
        <v>134.8</v>
      </c>
      <c r="E313" s="877">
        <f t="shared" si="16"/>
        <v>155.02</v>
      </c>
      <c r="F313" s="877" t="s">
        <v>1936</v>
      </c>
      <c r="G313" s="1116"/>
      <c r="H313" s="879">
        <v>56.09</v>
      </c>
    </row>
    <row r="314" spans="1:8" ht="14.25">
      <c r="A314" s="1112">
        <v>221</v>
      </c>
      <c r="B314" s="1121" t="s">
        <v>627</v>
      </c>
      <c r="C314" s="1113" t="s">
        <v>2938</v>
      </c>
      <c r="D314" s="877">
        <f>H314*H303</f>
        <v>133.90200000000002</v>
      </c>
      <c r="E314" s="877">
        <f t="shared" si="16"/>
        <v>153.9873</v>
      </c>
      <c r="F314" s="877" t="s">
        <v>1936</v>
      </c>
      <c r="G314" s="1116"/>
      <c r="H314" s="879">
        <v>74.39</v>
      </c>
    </row>
    <row r="315" spans="1:7" ht="12.75">
      <c r="A315" s="1112"/>
      <c r="B315" s="1120" t="s">
        <v>628</v>
      </c>
      <c r="C315" s="1113"/>
      <c r="D315" s="877"/>
      <c r="E315" s="877"/>
      <c r="F315" s="877"/>
      <c r="G315" s="1116"/>
    </row>
    <row r="316" spans="1:7" ht="12.75">
      <c r="A316" s="1112">
        <v>222</v>
      </c>
      <c r="B316" s="1121" t="s">
        <v>629</v>
      </c>
      <c r="C316" s="1113" t="s">
        <v>2938</v>
      </c>
      <c r="D316" s="877">
        <v>16.15</v>
      </c>
      <c r="E316" s="877">
        <f>D316*1.15</f>
        <v>18.572499999999998</v>
      </c>
      <c r="F316" s="877" t="s">
        <v>1936</v>
      </c>
      <c r="G316" s="1119"/>
    </row>
    <row r="317" spans="1:7" ht="12.75">
      <c r="A317" s="1112">
        <v>223</v>
      </c>
      <c r="B317" s="1121" t="s">
        <v>630</v>
      </c>
      <c r="C317" s="1113" t="s">
        <v>2938</v>
      </c>
      <c r="D317" s="877">
        <v>25.4</v>
      </c>
      <c r="E317" s="877">
        <f aca="true" t="shared" si="17" ref="E317:E324">D317*1.15</f>
        <v>29.209999999999997</v>
      </c>
      <c r="F317" s="877" t="s">
        <v>1936</v>
      </c>
      <c r="G317" s="1119"/>
    </row>
    <row r="318" spans="1:7" ht="12.75">
      <c r="A318" s="1112">
        <v>224</v>
      </c>
      <c r="B318" s="1121" t="s">
        <v>631</v>
      </c>
      <c r="C318" s="1113" t="s">
        <v>2938</v>
      </c>
      <c r="D318" s="877">
        <v>39.8</v>
      </c>
      <c r="E318" s="877">
        <f t="shared" si="17"/>
        <v>45.769999999999996</v>
      </c>
      <c r="F318" s="877" t="s">
        <v>1936</v>
      </c>
      <c r="G318" s="1119"/>
    </row>
    <row r="319" spans="1:7" ht="12.75">
      <c r="A319" s="1112">
        <v>225</v>
      </c>
      <c r="B319" s="1121" t="s">
        <v>632</v>
      </c>
      <c r="C319" s="1113" t="s">
        <v>2938</v>
      </c>
      <c r="D319" s="877">
        <v>67</v>
      </c>
      <c r="E319" s="877">
        <f t="shared" si="17"/>
        <v>77.05</v>
      </c>
      <c r="F319" s="877" t="s">
        <v>1936</v>
      </c>
      <c r="G319" s="1119"/>
    </row>
    <row r="320" spans="1:7" ht="12.75">
      <c r="A320" s="1112">
        <v>226</v>
      </c>
      <c r="B320" s="1121" t="s">
        <v>1331</v>
      </c>
      <c r="C320" s="1113" t="s">
        <v>2938</v>
      </c>
      <c r="D320" s="877">
        <v>132</v>
      </c>
      <c r="E320" s="877">
        <f t="shared" si="17"/>
        <v>151.79999999999998</v>
      </c>
      <c r="F320" s="877" t="s">
        <v>1936</v>
      </c>
      <c r="G320" s="1119"/>
    </row>
    <row r="321" spans="1:7" ht="12.75">
      <c r="A321" s="1112">
        <v>227</v>
      </c>
      <c r="B321" s="1121" t="s">
        <v>1332</v>
      </c>
      <c r="C321" s="1113" t="s">
        <v>2938</v>
      </c>
      <c r="D321" s="877">
        <v>222</v>
      </c>
      <c r="E321" s="877">
        <f t="shared" si="17"/>
        <v>255.29999999999998</v>
      </c>
      <c r="F321" s="877" t="s">
        <v>1936</v>
      </c>
      <c r="G321" s="1119"/>
    </row>
    <row r="322" spans="1:7" ht="12.75">
      <c r="A322" s="1112">
        <v>228</v>
      </c>
      <c r="B322" s="1121" t="s">
        <v>1333</v>
      </c>
      <c r="C322" s="1113" t="s">
        <v>2938</v>
      </c>
      <c r="D322" s="877">
        <v>189</v>
      </c>
      <c r="E322" s="877">
        <f t="shared" si="17"/>
        <v>217.35</v>
      </c>
      <c r="F322" s="877" t="s">
        <v>1936</v>
      </c>
      <c r="G322" s="1119"/>
    </row>
    <row r="323" spans="1:7" ht="12.75">
      <c r="A323" s="1112">
        <v>229</v>
      </c>
      <c r="B323" s="1121" t="s">
        <v>1338</v>
      </c>
      <c r="C323" s="1113" t="s">
        <v>2938</v>
      </c>
      <c r="D323" s="877">
        <v>240</v>
      </c>
      <c r="E323" s="877">
        <f t="shared" si="17"/>
        <v>276</v>
      </c>
      <c r="F323" s="877" t="s">
        <v>1936</v>
      </c>
      <c r="G323" s="1119"/>
    </row>
    <row r="324" spans="1:7" ht="12.75">
      <c r="A324" s="1112">
        <v>230</v>
      </c>
      <c r="B324" s="1121" t="s">
        <v>1339</v>
      </c>
      <c r="C324" s="1113" t="s">
        <v>2938</v>
      </c>
      <c r="D324" s="877">
        <v>294</v>
      </c>
      <c r="E324" s="877">
        <f t="shared" si="17"/>
        <v>338.09999999999997</v>
      </c>
      <c r="F324" s="877" t="s">
        <v>1936</v>
      </c>
      <c r="G324" s="1116"/>
    </row>
    <row r="325" spans="1:8" ht="12.75">
      <c r="A325" s="1112"/>
      <c r="B325" s="1120" t="s">
        <v>1340</v>
      </c>
      <c r="C325" s="1113"/>
      <c r="D325" s="877"/>
      <c r="E325" s="877"/>
      <c r="F325" s="877"/>
      <c r="G325" s="1116"/>
      <c r="H325" s="438">
        <f>1.8*1</f>
        <v>1.8</v>
      </c>
    </row>
    <row r="326" spans="1:8" ht="14.25">
      <c r="A326" s="1112">
        <v>231</v>
      </c>
      <c r="B326" s="1121" t="s">
        <v>1341</v>
      </c>
      <c r="C326" s="1113" t="s">
        <v>2938</v>
      </c>
      <c r="D326" s="877">
        <v>230</v>
      </c>
      <c r="E326" s="877">
        <f>D326*1.15</f>
        <v>264.5</v>
      </c>
      <c r="F326" s="877" t="s">
        <v>1936</v>
      </c>
      <c r="G326" s="1116"/>
      <c r="H326" s="879">
        <v>86.09</v>
      </c>
    </row>
    <row r="327" spans="1:9" ht="14.25">
      <c r="A327" s="1112">
        <v>232</v>
      </c>
      <c r="B327" s="1121" t="s">
        <v>1342</v>
      </c>
      <c r="C327" s="1113" t="s">
        <v>2938</v>
      </c>
      <c r="D327" s="877">
        <f>H327*H325</f>
        <v>176.86800000000002</v>
      </c>
      <c r="E327" s="877">
        <f>D327*1.15</f>
        <v>203.3982</v>
      </c>
      <c r="F327" s="877" t="s">
        <v>1936</v>
      </c>
      <c r="G327" s="1116"/>
      <c r="H327" s="879">
        <v>98.26</v>
      </c>
      <c r="I327" s="879">
        <v>86.09</v>
      </c>
    </row>
    <row r="328" spans="1:8" ht="12.75">
      <c r="A328" s="1112"/>
      <c r="B328" s="1120" t="s">
        <v>1343</v>
      </c>
      <c r="C328" s="1113"/>
      <c r="D328" s="877"/>
      <c r="E328" s="877"/>
      <c r="F328" s="877"/>
      <c r="G328" s="1116"/>
      <c r="H328" s="879"/>
    </row>
    <row r="329" spans="1:8" ht="14.25">
      <c r="A329" s="1112">
        <v>233</v>
      </c>
      <c r="B329" s="1121" t="s">
        <v>1344</v>
      </c>
      <c r="C329" s="1113" t="s">
        <v>2938</v>
      </c>
      <c r="D329" s="877">
        <v>9.03</v>
      </c>
      <c r="E329" s="877">
        <f>D329*1.15</f>
        <v>10.3845</v>
      </c>
      <c r="F329" s="877" t="s">
        <v>1936</v>
      </c>
      <c r="G329" s="1116"/>
      <c r="H329" s="879">
        <v>4.31</v>
      </c>
    </row>
    <row r="330" spans="1:8" ht="14.25">
      <c r="A330" s="1112">
        <v>234</v>
      </c>
      <c r="B330" s="1121" t="s">
        <v>1345</v>
      </c>
      <c r="C330" s="1113" t="s">
        <v>2938</v>
      </c>
      <c r="D330" s="877">
        <f>H325*H330</f>
        <v>7.901999999999999</v>
      </c>
      <c r="E330" s="877">
        <f aca="true" t="shared" si="18" ref="E330:E358">D330*1.15</f>
        <v>9.087299999999999</v>
      </c>
      <c r="F330" s="877" t="s">
        <v>1936</v>
      </c>
      <c r="G330" s="1116"/>
      <c r="H330" s="879">
        <v>4.39</v>
      </c>
    </row>
    <row r="331" spans="1:8" ht="14.25">
      <c r="A331" s="1112">
        <v>235</v>
      </c>
      <c r="B331" s="1121" t="s">
        <v>1346</v>
      </c>
      <c r="C331" s="1113" t="s">
        <v>2938</v>
      </c>
      <c r="D331" s="877">
        <f>H325*H331</f>
        <v>12.366</v>
      </c>
      <c r="E331" s="877">
        <f t="shared" si="18"/>
        <v>14.220899999999999</v>
      </c>
      <c r="F331" s="877" t="s">
        <v>1936</v>
      </c>
      <c r="G331" s="1116"/>
      <c r="H331" s="879">
        <v>6.87</v>
      </c>
    </row>
    <row r="332" spans="1:8" ht="14.25">
      <c r="A332" s="1112">
        <v>236</v>
      </c>
      <c r="B332" s="1121" t="s">
        <v>1347</v>
      </c>
      <c r="C332" s="1113" t="s">
        <v>2938</v>
      </c>
      <c r="D332" s="877">
        <v>14.34</v>
      </c>
      <c r="E332" s="877">
        <f t="shared" si="18"/>
        <v>16.491</v>
      </c>
      <c r="F332" s="877" t="s">
        <v>1936</v>
      </c>
      <c r="G332" s="1116"/>
      <c r="H332" s="879">
        <v>6.82</v>
      </c>
    </row>
    <row r="333" spans="1:8" ht="14.25">
      <c r="A333" s="1112">
        <v>237</v>
      </c>
      <c r="B333" s="1121" t="s">
        <v>1348</v>
      </c>
      <c r="C333" s="1113" t="s">
        <v>2938</v>
      </c>
      <c r="D333" s="877">
        <v>21.95</v>
      </c>
      <c r="E333" s="877">
        <f t="shared" si="18"/>
        <v>25.242499999999996</v>
      </c>
      <c r="F333" s="877" t="s">
        <v>1936</v>
      </c>
      <c r="G333" s="1116"/>
      <c r="H333" s="879">
        <v>10.23</v>
      </c>
    </row>
    <row r="334" spans="1:8" ht="14.25">
      <c r="A334" s="1112">
        <v>238</v>
      </c>
      <c r="B334" s="1121" t="s">
        <v>1349</v>
      </c>
      <c r="C334" s="1113" t="s">
        <v>2938</v>
      </c>
      <c r="D334" s="877">
        <f>H325*H334</f>
        <v>22.698</v>
      </c>
      <c r="E334" s="877">
        <f t="shared" si="18"/>
        <v>26.1027</v>
      </c>
      <c r="F334" s="877" t="s">
        <v>1936</v>
      </c>
      <c r="G334" s="1116"/>
      <c r="H334" s="879">
        <v>12.61</v>
      </c>
    </row>
    <row r="335" spans="1:8" ht="14.25">
      <c r="A335" s="1112">
        <v>239</v>
      </c>
      <c r="B335" s="1121" t="s">
        <v>1350</v>
      </c>
      <c r="C335" s="1113" t="s">
        <v>2938</v>
      </c>
      <c r="D335" s="877">
        <f>H325*H335</f>
        <v>10.764000000000001</v>
      </c>
      <c r="E335" s="877">
        <f t="shared" si="18"/>
        <v>12.3786</v>
      </c>
      <c r="F335" s="877" t="s">
        <v>1936</v>
      </c>
      <c r="G335" s="1116"/>
      <c r="H335" s="879">
        <v>5.98</v>
      </c>
    </row>
    <row r="336" spans="1:8" ht="14.25">
      <c r="A336" s="1112">
        <v>240</v>
      </c>
      <c r="B336" s="1121" t="s">
        <v>1351</v>
      </c>
      <c r="C336" s="1113" t="s">
        <v>2938</v>
      </c>
      <c r="D336" s="877">
        <v>12.6</v>
      </c>
      <c r="E336" s="877">
        <f t="shared" si="18"/>
        <v>14.489999999999998</v>
      </c>
      <c r="F336" s="877" t="s">
        <v>1936</v>
      </c>
      <c r="G336" s="1116"/>
      <c r="H336" s="879">
        <v>6.03</v>
      </c>
    </row>
    <row r="337" spans="1:8" ht="14.25">
      <c r="A337" s="1112">
        <v>241</v>
      </c>
      <c r="B337" s="1121" t="s">
        <v>3275</v>
      </c>
      <c r="C337" s="1113" t="s">
        <v>2938</v>
      </c>
      <c r="D337" s="877">
        <v>20</v>
      </c>
      <c r="E337" s="877">
        <f t="shared" si="18"/>
        <v>23</v>
      </c>
      <c r="F337" s="877" t="s">
        <v>1936</v>
      </c>
      <c r="G337" s="1116"/>
      <c r="H337" s="879">
        <v>9.5</v>
      </c>
    </row>
    <row r="338" spans="1:8" ht="14.25">
      <c r="A338" s="1112">
        <v>242</v>
      </c>
      <c r="B338" s="1121" t="s">
        <v>293</v>
      </c>
      <c r="C338" s="1113" t="s">
        <v>2938</v>
      </c>
      <c r="D338" s="877">
        <v>20</v>
      </c>
      <c r="E338" s="877">
        <f t="shared" si="18"/>
        <v>23</v>
      </c>
      <c r="F338" s="877" t="s">
        <v>1936</v>
      </c>
      <c r="G338" s="1116"/>
      <c r="H338" s="879">
        <v>9.44</v>
      </c>
    </row>
    <row r="339" spans="1:8" ht="14.25">
      <c r="A339" s="1112">
        <v>243</v>
      </c>
      <c r="B339" s="1121" t="s">
        <v>294</v>
      </c>
      <c r="C339" s="1113" t="s">
        <v>2938</v>
      </c>
      <c r="D339" s="877">
        <v>30.54</v>
      </c>
      <c r="E339" s="877">
        <f t="shared" si="18"/>
        <v>35.120999999999995</v>
      </c>
      <c r="F339" s="877" t="s">
        <v>1936</v>
      </c>
      <c r="G339" s="1116"/>
      <c r="H339" s="879">
        <v>14.61</v>
      </c>
    </row>
    <row r="340" spans="1:8" ht="14.25">
      <c r="A340" s="1112">
        <v>244</v>
      </c>
      <c r="B340" s="1121" t="s">
        <v>295</v>
      </c>
      <c r="C340" s="1113" t="s">
        <v>2938</v>
      </c>
      <c r="D340" s="877">
        <v>30.54</v>
      </c>
      <c r="E340" s="877">
        <f t="shared" si="18"/>
        <v>35.120999999999995</v>
      </c>
      <c r="F340" s="877" t="s">
        <v>1936</v>
      </c>
      <c r="G340" s="1116"/>
      <c r="H340" s="879">
        <v>14.52</v>
      </c>
    </row>
    <row r="341" spans="1:8" ht="14.25">
      <c r="A341" s="1112">
        <v>245</v>
      </c>
      <c r="B341" s="1121" t="s">
        <v>296</v>
      </c>
      <c r="C341" s="1113" t="s">
        <v>2938</v>
      </c>
      <c r="D341" s="877">
        <v>43.97</v>
      </c>
      <c r="E341" s="877">
        <f t="shared" si="18"/>
        <v>50.56549999999999</v>
      </c>
      <c r="F341" s="877" t="s">
        <v>1936</v>
      </c>
      <c r="G341" s="1116"/>
      <c r="H341" s="879">
        <v>21.7</v>
      </c>
    </row>
    <row r="342" spans="1:8" ht="14.25">
      <c r="A342" s="1112">
        <v>246</v>
      </c>
      <c r="B342" s="1121" t="s">
        <v>297</v>
      </c>
      <c r="C342" s="1113" t="s">
        <v>2938</v>
      </c>
      <c r="D342" s="877">
        <v>43.97</v>
      </c>
      <c r="E342" s="877">
        <f t="shared" si="18"/>
        <v>50.56549999999999</v>
      </c>
      <c r="F342" s="877" t="s">
        <v>1936</v>
      </c>
      <c r="G342" s="1116"/>
      <c r="H342" s="879">
        <v>21.62</v>
      </c>
    </row>
    <row r="343" spans="1:8" ht="14.25">
      <c r="A343" s="1112">
        <v>247</v>
      </c>
      <c r="B343" s="1121" t="s">
        <v>298</v>
      </c>
      <c r="C343" s="1113" t="s">
        <v>2938</v>
      </c>
      <c r="D343" s="877">
        <v>16.4</v>
      </c>
      <c r="E343" s="877">
        <f t="shared" si="18"/>
        <v>18.859999999999996</v>
      </c>
      <c r="F343" s="877" t="s">
        <v>1936</v>
      </c>
      <c r="G343" s="1116"/>
      <c r="H343" s="879">
        <v>7.74</v>
      </c>
    </row>
    <row r="344" spans="1:8" ht="14.25">
      <c r="A344" s="1112">
        <v>248</v>
      </c>
      <c r="B344" s="1121" t="s">
        <v>299</v>
      </c>
      <c r="C344" s="1113" t="s">
        <v>2938</v>
      </c>
      <c r="D344" s="877">
        <v>16.4</v>
      </c>
      <c r="E344" s="877">
        <f t="shared" si="18"/>
        <v>18.859999999999996</v>
      </c>
      <c r="F344" s="877" t="s">
        <v>1936</v>
      </c>
      <c r="G344" s="1116"/>
      <c r="H344" s="879">
        <v>7.79</v>
      </c>
    </row>
    <row r="345" spans="1:7" ht="14.25">
      <c r="A345" s="1112">
        <v>249</v>
      </c>
      <c r="B345" s="1121" t="s">
        <v>300</v>
      </c>
      <c r="C345" s="1113" t="s">
        <v>2938</v>
      </c>
      <c r="D345" s="877">
        <v>25.75</v>
      </c>
      <c r="E345" s="877">
        <f t="shared" si="18"/>
        <v>29.612499999999997</v>
      </c>
      <c r="F345" s="877" t="s">
        <v>1936</v>
      </c>
      <c r="G345" s="1116"/>
    </row>
    <row r="346" spans="1:8" ht="14.25">
      <c r="A346" s="1112">
        <v>250</v>
      </c>
      <c r="B346" s="1121" t="s">
        <v>301</v>
      </c>
      <c r="C346" s="1113" t="s">
        <v>2938</v>
      </c>
      <c r="D346" s="877">
        <f>H325*H346</f>
        <v>22.338</v>
      </c>
      <c r="E346" s="877">
        <f t="shared" si="18"/>
        <v>25.6887</v>
      </c>
      <c r="F346" s="877" t="s">
        <v>1936</v>
      </c>
      <c r="G346" s="1116"/>
      <c r="H346" s="879">
        <v>12.41</v>
      </c>
    </row>
    <row r="347" spans="1:8" ht="14.25">
      <c r="A347" s="1112">
        <v>251</v>
      </c>
      <c r="B347" s="1121" t="s">
        <v>302</v>
      </c>
      <c r="C347" s="1113" t="s">
        <v>2938</v>
      </c>
      <c r="D347" s="877">
        <f>H325*H347</f>
        <v>34.398</v>
      </c>
      <c r="E347" s="877">
        <f t="shared" si="18"/>
        <v>39.557700000000004</v>
      </c>
      <c r="F347" s="877" t="s">
        <v>1936</v>
      </c>
      <c r="G347" s="1116"/>
      <c r="H347" s="879">
        <v>19.11</v>
      </c>
    </row>
    <row r="348" spans="1:8" ht="14.25">
      <c r="A348" s="1112">
        <v>252</v>
      </c>
      <c r="B348" s="1121" t="s">
        <v>303</v>
      </c>
      <c r="C348" s="1113" t="s">
        <v>2938</v>
      </c>
      <c r="D348" s="877">
        <f>H325*H348</f>
        <v>34.56</v>
      </c>
      <c r="E348" s="877">
        <f t="shared" si="18"/>
        <v>39.744</v>
      </c>
      <c r="F348" s="877" t="s">
        <v>1936</v>
      </c>
      <c r="G348" s="1116"/>
      <c r="H348" s="879">
        <v>19.2</v>
      </c>
    </row>
    <row r="349" spans="1:8" ht="14.25">
      <c r="A349" s="1112">
        <v>253</v>
      </c>
      <c r="B349" s="1121" t="s">
        <v>304</v>
      </c>
      <c r="C349" s="1113" t="s">
        <v>2938</v>
      </c>
      <c r="D349" s="877">
        <v>57.24</v>
      </c>
      <c r="E349" s="877">
        <f t="shared" si="18"/>
        <v>65.826</v>
      </c>
      <c r="F349" s="877" t="s">
        <v>1936</v>
      </c>
      <c r="G349" s="1116"/>
      <c r="H349" s="879">
        <v>28.31</v>
      </c>
    </row>
    <row r="350" spans="1:8" ht="14.25">
      <c r="A350" s="1112">
        <v>254</v>
      </c>
      <c r="B350" s="1121" t="s">
        <v>305</v>
      </c>
      <c r="C350" s="1113" t="s">
        <v>2938</v>
      </c>
      <c r="D350" s="877">
        <f>H325*H350</f>
        <v>50.094</v>
      </c>
      <c r="E350" s="877">
        <f t="shared" si="18"/>
        <v>57.6081</v>
      </c>
      <c r="F350" s="877" t="s">
        <v>1936</v>
      </c>
      <c r="G350" s="1116"/>
      <c r="H350" s="879">
        <v>27.83</v>
      </c>
    </row>
    <row r="351" spans="1:7" ht="14.25">
      <c r="A351" s="1112">
        <v>255</v>
      </c>
      <c r="B351" s="1121" t="s">
        <v>306</v>
      </c>
      <c r="C351" s="1113" t="s">
        <v>2938</v>
      </c>
      <c r="D351" s="877">
        <v>100.8</v>
      </c>
      <c r="E351" s="877">
        <f t="shared" si="18"/>
        <v>115.91999999999999</v>
      </c>
      <c r="F351" s="877" t="s">
        <v>1936</v>
      </c>
      <c r="G351" s="1116"/>
    </row>
    <row r="352" spans="1:7" ht="14.25">
      <c r="A352" s="1112">
        <v>256</v>
      </c>
      <c r="B352" s="1121" t="s">
        <v>1965</v>
      </c>
      <c r="C352" s="1113" t="s">
        <v>2938</v>
      </c>
      <c r="D352" s="877">
        <v>145</v>
      </c>
      <c r="E352" s="877">
        <f t="shared" si="18"/>
        <v>166.75</v>
      </c>
      <c r="F352" s="877" t="s">
        <v>1936</v>
      </c>
      <c r="G352" s="1116"/>
    </row>
    <row r="353" spans="1:8" ht="14.25">
      <c r="A353" s="1112">
        <v>257</v>
      </c>
      <c r="B353" s="1121" t="s">
        <v>2871</v>
      </c>
      <c r="C353" s="1113" t="s">
        <v>2938</v>
      </c>
      <c r="D353" s="877">
        <v>35.86</v>
      </c>
      <c r="E353" s="877">
        <f t="shared" si="18"/>
        <v>41.239</v>
      </c>
      <c r="F353" s="877" t="s">
        <v>1936</v>
      </c>
      <c r="G353" s="1116"/>
      <c r="H353" s="879">
        <v>15.45</v>
      </c>
    </row>
    <row r="354" spans="1:8" ht="14.25">
      <c r="A354" s="1112">
        <v>258</v>
      </c>
      <c r="B354" s="1121" t="s">
        <v>2872</v>
      </c>
      <c r="C354" s="1113" t="s">
        <v>2938</v>
      </c>
      <c r="D354" s="877">
        <f>H325*H354</f>
        <v>27.540000000000003</v>
      </c>
      <c r="E354" s="877">
        <f t="shared" si="18"/>
        <v>31.671</v>
      </c>
      <c r="F354" s="877" t="s">
        <v>1936</v>
      </c>
      <c r="G354" s="1116"/>
      <c r="H354" s="879">
        <v>15.3</v>
      </c>
    </row>
    <row r="355" spans="1:8" ht="14.25">
      <c r="A355" s="1112">
        <v>259</v>
      </c>
      <c r="B355" s="1121" t="s">
        <v>2873</v>
      </c>
      <c r="C355" s="1113" t="s">
        <v>2938</v>
      </c>
      <c r="D355" s="877">
        <f>H325*H355</f>
        <v>42.822</v>
      </c>
      <c r="E355" s="877">
        <f t="shared" si="18"/>
        <v>49.2453</v>
      </c>
      <c r="F355" s="877" t="s">
        <v>1936</v>
      </c>
      <c r="G355" s="1116"/>
      <c r="H355" s="879">
        <v>23.79</v>
      </c>
    </row>
    <row r="356" spans="1:8" ht="14.25">
      <c r="A356" s="1112">
        <v>260</v>
      </c>
      <c r="B356" s="1121" t="s">
        <v>2874</v>
      </c>
      <c r="C356" s="1113" t="s">
        <v>2938</v>
      </c>
      <c r="D356" s="877">
        <f>H325*H356</f>
        <v>42.264</v>
      </c>
      <c r="E356" s="877">
        <f t="shared" si="18"/>
        <v>48.6036</v>
      </c>
      <c r="F356" s="877" t="s">
        <v>1936</v>
      </c>
      <c r="G356" s="1116"/>
      <c r="H356" s="879">
        <v>23.48</v>
      </c>
    </row>
    <row r="357" spans="1:8" ht="14.25">
      <c r="A357" s="1112">
        <v>261</v>
      </c>
      <c r="B357" s="1121" t="s">
        <v>2875</v>
      </c>
      <c r="C357" s="1113" t="s">
        <v>2938</v>
      </c>
      <c r="D357" s="877">
        <v>79.2</v>
      </c>
      <c r="E357" s="877">
        <f t="shared" si="18"/>
        <v>91.08</v>
      </c>
      <c r="F357" s="877" t="s">
        <v>1936</v>
      </c>
      <c r="G357" s="1116"/>
      <c r="H357" s="879">
        <v>34.35</v>
      </c>
    </row>
    <row r="358" spans="1:8" ht="14.25">
      <c r="A358" s="1112">
        <v>262</v>
      </c>
      <c r="B358" s="1121" t="s">
        <v>2876</v>
      </c>
      <c r="C358" s="1113" t="s">
        <v>2938</v>
      </c>
      <c r="D358" s="877">
        <f>H325*H358</f>
        <v>61.038</v>
      </c>
      <c r="E358" s="877">
        <f t="shared" si="18"/>
        <v>70.19369999999999</v>
      </c>
      <c r="F358" s="877" t="s">
        <v>1936</v>
      </c>
      <c r="G358" s="1116"/>
      <c r="H358" s="879">
        <v>33.91</v>
      </c>
    </row>
    <row r="359" spans="1:7" ht="12.75">
      <c r="A359" s="1112"/>
      <c r="B359" s="1120" t="s">
        <v>1271</v>
      </c>
      <c r="C359" s="1113"/>
      <c r="D359" s="877"/>
      <c r="E359" s="877"/>
      <c r="F359" s="877"/>
      <c r="G359" s="1116"/>
    </row>
    <row r="360" spans="1:8" ht="14.25">
      <c r="A360" s="1112">
        <v>263</v>
      </c>
      <c r="B360" s="1121" t="s">
        <v>1272</v>
      </c>
      <c r="C360" s="1113" t="s">
        <v>2938</v>
      </c>
      <c r="D360" s="877">
        <v>22.8</v>
      </c>
      <c r="E360" s="877">
        <f>D360*1.15</f>
        <v>26.22</v>
      </c>
      <c r="F360" s="877" t="s">
        <v>1936</v>
      </c>
      <c r="G360" s="1116"/>
      <c r="H360" s="879">
        <v>10</v>
      </c>
    </row>
    <row r="361" spans="1:8" ht="14.25">
      <c r="A361" s="1112">
        <v>264</v>
      </c>
      <c r="B361" s="1121" t="s">
        <v>1280</v>
      </c>
      <c r="C361" s="1113" t="s">
        <v>2938</v>
      </c>
      <c r="D361" s="877">
        <v>34.8</v>
      </c>
      <c r="E361" s="877">
        <f aca="true" t="shared" si="19" ref="E361:E381">D361*1.15</f>
        <v>40.019999999999996</v>
      </c>
      <c r="F361" s="877" t="s">
        <v>1936</v>
      </c>
      <c r="G361" s="1116"/>
      <c r="H361" s="879">
        <v>15.22</v>
      </c>
    </row>
    <row r="362" spans="1:8" ht="14.25">
      <c r="A362" s="1112">
        <v>265</v>
      </c>
      <c r="B362" s="1121" t="s">
        <v>1281</v>
      </c>
      <c r="C362" s="1113" t="s">
        <v>2938</v>
      </c>
      <c r="D362" s="877">
        <v>49.2</v>
      </c>
      <c r="E362" s="877">
        <f t="shared" si="19"/>
        <v>56.58</v>
      </c>
      <c r="F362" s="877" t="s">
        <v>1936</v>
      </c>
      <c r="G362" s="1116"/>
      <c r="H362" s="879">
        <v>22.17</v>
      </c>
    </row>
    <row r="363" spans="1:8" ht="14.25">
      <c r="A363" s="1112">
        <v>266</v>
      </c>
      <c r="B363" s="1121" t="s">
        <v>2877</v>
      </c>
      <c r="C363" s="1113" t="s">
        <v>2938</v>
      </c>
      <c r="D363" s="877">
        <v>83.82</v>
      </c>
      <c r="E363" s="877">
        <f t="shared" si="19"/>
        <v>96.39299999999999</v>
      </c>
      <c r="F363" s="877" t="s">
        <v>1936</v>
      </c>
      <c r="G363" s="1116"/>
      <c r="H363" s="879">
        <v>36.7</v>
      </c>
    </row>
    <row r="364" spans="1:8" ht="14.25">
      <c r="A364" s="1112">
        <v>267</v>
      </c>
      <c r="B364" s="1121" t="s">
        <v>2878</v>
      </c>
      <c r="C364" s="1113" t="s">
        <v>2938</v>
      </c>
      <c r="D364" s="877">
        <v>127</v>
      </c>
      <c r="E364" s="877">
        <f t="shared" si="19"/>
        <v>146.04999999999998</v>
      </c>
      <c r="F364" s="877" t="s">
        <v>1936</v>
      </c>
      <c r="G364" s="1116"/>
      <c r="H364" s="879">
        <v>53.74</v>
      </c>
    </row>
    <row r="365" spans="1:8" ht="14.25">
      <c r="A365" s="1112">
        <v>268</v>
      </c>
      <c r="B365" s="1121" t="s">
        <v>1273</v>
      </c>
      <c r="C365" s="1113" t="s">
        <v>2938</v>
      </c>
      <c r="D365" s="877">
        <v>29.4</v>
      </c>
      <c r="E365" s="877">
        <f t="shared" si="19"/>
        <v>33.809999999999995</v>
      </c>
      <c r="F365" s="877" t="s">
        <v>1936</v>
      </c>
      <c r="G365" s="1116"/>
      <c r="H365" s="879">
        <v>13.3</v>
      </c>
    </row>
    <row r="366" spans="1:8" ht="14.25">
      <c r="A366" s="1112">
        <v>269</v>
      </c>
      <c r="B366" s="1121" t="s">
        <v>1274</v>
      </c>
      <c r="C366" s="1113" t="s">
        <v>2938</v>
      </c>
      <c r="D366" s="877">
        <v>44.4</v>
      </c>
      <c r="E366" s="877">
        <f t="shared" si="19"/>
        <v>51.059999999999995</v>
      </c>
      <c r="F366" s="877" t="s">
        <v>1936</v>
      </c>
      <c r="G366" s="1116"/>
      <c r="H366" s="879">
        <v>20.38</v>
      </c>
    </row>
    <row r="367" spans="1:8" ht="14.25">
      <c r="A367" s="1112">
        <v>270</v>
      </c>
      <c r="B367" s="1121" t="s">
        <v>1275</v>
      </c>
      <c r="C367" s="1113" t="s">
        <v>2938</v>
      </c>
      <c r="D367" s="877">
        <v>64.2</v>
      </c>
      <c r="E367" s="877">
        <f t="shared" si="19"/>
        <v>73.83</v>
      </c>
      <c r="F367" s="877" t="s">
        <v>1936</v>
      </c>
      <c r="G367" s="1116"/>
      <c r="H367" s="879">
        <v>29.57</v>
      </c>
    </row>
    <row r="368" spans="1:8" ht="14.25">
      <c r="A368" s="1112">
        <v>271</v>
      </c>
      <c r="B368" s="1121" t="s">
        <v>1276</v>
      </c>
      <c r="C368" s="1113" t="s">
        <v>2938</v>
      </c>
      <c r="D368" s="877">
        <v>152.4</v>
      </c>
      <c r="E368" s="877">
        <f t="shared" si="19"/>
        <v>175.26</v>
      </c>
      <c r="F368" s="877" t="s">
        <v>1936</v>
      </c>
      <c r="G368" s="1116"/>
      <c r="H368" s="879">
        <v>48.7</v>
      </c>
    </row>
    <row r="369" spans="1:8" ht="14.25">
      <c r="A369" s="1112">
        <v>272</v>
      </c>
      <c r="B369" s="1121" t="s">
        <v>1277</v>
      </c>
      <c r="C369" s="1113" t="s">
        <v>2938</v>
      </c>
      <c r="D369" s="877">
        <v>135.96</v>
      </c>
      <c r="E369" s="877">
        <f t="shared" si="19"/>
        <v>156.35399999999998</v>
      </c>
      <c r="F369" s="877" t="s">
        <v>1936</v>
      </c>
      <c r="G369" s="1116"/>
      <c r="H369" s="879">
        <v>75.65</v>
      </c>
    </row>
    <row r="370" spans="1:8" ht="14.25">
      <c r="A370" s="1112">
        <v>273</v>
      </c>
      <c r="B370" s="1121" t="s">
        <v>1278</v>
      </c>
      <c r="C370" s="1113" t="s">
        <v>2938</v>
      </c>
      <c r="D370" s="877">
        <v>152.4</v>
      </c>
      <c r="E370" s="877">
        <f t="shared" si="19"/>
        <v>175.26</v>
      </c>
      <c r="F370" s="877" t="s">
        <v>1936</v>
      </c>
      <c r="G370" s="1116"/>
      <c r="H370" s="879">
        <v>55.65</v>
      </c>
    </row>
    <row r="371" spans="1:8" ht="14.25">
      <c r="A371" s="1112">
        <v>274</v>
      </c>
      <c r="B371" s="1121" t="s">
        <v>1279</v>
      </c>
      <c r="C371" s="1113" t="s">
        <v>2938</v>
      </c>
      <c r="D371" s="877">
        <v>222</v>
      </c>
      <c r="E371" s="877">
        <f t="shared" si="19"/>
        <v>255.29999999999998</v>
      </c>
      <c r="F371" s="877" t="s">
        <v>1936</v>
      </c>
      <c r="G371" s="1116"/>
      <c r="H371" s="879">
        <v>85.22</v>
      </c>
    </row>
    <row r="372" spans="1:8" ht="14.25">
      <c r="A372" s="1112">
        <v>275</v>
      </c>
      <c r="B372" s="1121" t="s">
        <v>30</v>
      </c>
      <c r="C372" s="1113" t="s">
        <v>2938</v>
      </c>
      <c r="D372" s="877">
        <v>222</v>
      </c>
      <c r="E372" s="877">
        <f t="shared" si="19"/>
        <v>255.29999999999998</v>
      </c>
      <c r="F372" s="877" t="s">
        <v>1936</v>
      </c>
      <c r="G372" s="1116"/>
      <c r="H372" s="879">
        <v>86.09</v>
      </c>
    </row>
    <row r="373" spans="1:8" ht="14.25">
      <c r="A373" s="1112">
        <v>276</v>
      </c>
      <c r="B373" s="1121" t="s">
        <v>861</v>
      </c>
      <c r="C373" s="1113" t="s">
        <v>2938</v>
      </c>
      <c r="D373" s="877">
        <v>287</v>
      </c>
      <c r="E373" s="877">
        <f t="shared" si="19"/>
        <v>330.04999999999995</v>
      </c>
      <c r="F373" s="877" t="s">
        <v>1936</v>
      </c>
      <c r="G373" s="1116"/>
      <c r="H373" s="879">
        <v>126.09</v>
      </c>
    </row>
    <row r="374" spans="1:8" ht="14.25">
      <c r="A374" s="1112">
        <v>277</v>
      </c>
      <c r="B374" s="1121" t="s">
        <v>862</v>
      </c>
      <c r="C374" s="1113" t="s">
        <v>2938</v>
      </c>
      <c r="D374" s="877">
        <v>397</v>
      </c>
      <c r="E374" s="877">
        <f t="shared" si="19"/>
        <v>456.54999999999995</v>
      </c>
      <c r="F374" s="877" t="s">
        <v>1936</v>
      </c>
      <c r="G374" s="1116"/>
      <c r="H374" s="879">
        <v>171.3</v>
      </c>
    </row>
    <row r="375" spans="1:8" ht="14.25">
      <c r="A375" s="1112">
        <v>278</v>
      </c>
      <c r="B375" s="1121" t="s">
        <v>1925</v>
      </c>
      <c r="C375" s="1113" t="s">
        <v>2938</v>
      </c>
      <c r="D375" s="877">
        <v>558</v>
      </c>
      <c r="E375" s="877">
        <f t="shared" si="19"/>
        <v>641.6999999999999</v>
      </c>
      <c r="F375" s="877" t="s">
        <v>1936</v>
      </c>
      <c r="G375" s="1116"/>
      <c r="H375" s="879">
        <v>244.35</v>
      </c>
    </row>
    <row r="376" spans="1:8" ht="14.25">
      <c r="A376" s="1112">
        <v>279</v>
      </c>
      <c r="B376" s="1121" t="s">
        <v>1926</v>
      </c>
      <c r="C376" s="1113" t="s">
        <v>2938</v>
      </c>
      <c r="D376" s="877">
        <v>744</v>
      </c>
      <c r="E376" s="877">
        <f t="shared" si="19"/>
        <v>855.5999999999999</v>
      </c>
      <c r="F376" s="877" t="s">
        <v>1936</v>
      </c>
      <c r="G376" s="1116"/>
      <c r="H376" s="879">
        <v>296.52</v>
      </c>
    </row>
    <row r="377" spans="1:8" ht="14.25">
      <c r="A377" s="1112">
        <v>280</v>
      </c>
      <c r="B377" s="1121" t="s">
        <v>1927</v>
      </c>
      <c r="C377" s="1113" t="s">
        <v>2938</v>
      </c>
      <c r="D377" s="877">
        <v>945</v>
      </c>
      <c r="E377" s="877">
        <f t="shared" si="19"/>
        <v>1086.75</v>
      </c>
      <c r="F377" s="877" t="s">
        <v>1936</v>
      </c>
      <c r="G377" s="1116"/>
      <c r="H377" s="879">
        <v>355.65</v>
      </c>
    </row>
    <row r="378" spans="1:8" ht="14.25">
      <c r="A378" s="1112">
        <v>281</v>
      </c>
      <c r="B378" s="1121" t="s">
        <v>1928</v>
      </c>
      <c r="C378" s="1113" t="s">
        <v>2938</v>
      </c>
      <c r="D378" s="877">
        <v>950</v>
      </c>
      <c r="E378" s="877">
        <f t="shared" si="19"/>
        <v>1092.5</v>
      </c>
      <c r="F378" s="877" t="s">
        <v>1936</v>
      </c>
      <c r="G378" s="1116"/>
      <c r="H378" s="879">
        <v>446.96</v>
      </c>
    </row>
    <row r="379" spans="1:8" ht="14.25">
      <c r="A379" s="1112">
        <v>282</v>
      </c>
      <c r="B379" s="1121" t="s">
        <v>1929</v>
      </c>
      <c r="C379" s="1113" t="s">
        <v>2938</v>
      </c>
      <c r="D379" s="877">
        <v>1800</v>
      </c>
      <c r="E379" s="877">
        <f t="shared" si="19"/>
        <v>2070</v>
      </c>
      <c r="F379" s="877" t="s">
        <v>1936</v>
      </c>
      <c r="G379" s="1116"/>
      <c r="H379" s="879">
        <v>540</v>
      </c>
    </row>
    <row r="380" spans="1:8" ht="14.25">
      <c r="A380" s="1112">
        <v>283</v>
      </c>
      <c r="B380" s="1121" t="s">
        <v>1930</v>
      </c>
      <c r="C380" s="1113" t="s">
        <v>2938</v>
      </c>
      <c r="D380" s="877">
        <f>H380*H325</f>
        <v>1308.528</v>
      </c>
      <c r="E380" s="877">
        <f t="shared" si="19"/>
        <v>1504.8072</v>
      </c>
      <c r="F380" s="877" t="s">
        <v>1936</v>
      </c>
      <c r="G380" s="1116"/>
      <c r="H380" s="879">
        <v>726.96</v>
      </c>
    </row>
    <row r="381" spans="1:8" ht="14.25">
      <c r="A381" s="1112">
        <v>284</v>
      </c>
      <c r="B381" s="1121" t="s">
        <v>1931</v>
      </c>
      <c r="C381" s="1113" t="s">
        <v>2938</v>
      </c>
      <c r="D381" s="877">
        <v>2340</v>
      </c>
      <c r="E381" s="877">
        <f t="shared" si="19"/>
        <v>2691</v>
      </c>
      <c r="F381" s="877" t="s">
        <v>1936</v>
      </c>
      <c r="G381" s="1116"/>
      <c r="H381" s="879">
        <v>868.7</v>
      </c>
    </row>
    <row r="382" spans="1:8" ht="12.75">
      <c r="A382" s="1112"/>
      <c r="B382" s="1120" t="s">
        <v>1932</v>
      </c>
      <c r="C382" s="1113"/>
      <c r="D382" s="877"/>
      <c r="E382" s="877"/>
      <c r="F382" s="877"/>
      <c r="G382" s="1116"/>
      <c r="H382" s="438">
        <f>1.8*1</f>
        <v>1.8</v>
      </c>
    </row>
    <row r="383" spans="1:8" ht="14.25">
      <c r="A383" s="1112">
        <v>285</v>
      </c>
      <c r="B383" s="1121" t="s">
        <v>1933</v>
      </c>
      <c r="C383" s="1113" t="s">
        <v>2938</v>
      </c>
      <c r="D383" s="877">
        <f>H383*H382</f>
        <v>23.868</v>
      </c>
      <c r="E383" s="877">
        <f>D383*1.15</f>
        <v>27.448199999999996</v>
      </c>
      <c r="F383" s="877" t="s">
        <v>1936</v>
      </c>
      <c r="G383" s="1116"/>
      <c r="H383" s="879">
        <v>13.26</v>
      </c>
    </row>
    <row r="384" spans="1:8" ht="14.25">
      <c r="A384" s="1112">
        <v>286</v>
      </c>
      <c r="B384" s="1121" t="s">
        <v>1934</v>
      </c>
      <c r="C384" s="1113" t="s">
        <v>2938</v>
      </c>
      <c r="D384" s="877">
        <f>H384*H382</f>
        <v>29.106000000000005</v>
      </c>
      <c r="E384" s="877">
        <f>D384*1.15</f>
        <v>33.471900000000005</v>
      </c>
      <c r="F384" s="877" t="s">
        <v>1936</v>
      </c>
      <c r="G384" s="1116"/>
      <c r="H384" s="879">
        <v>16.17</v>
      </c>
    </row>
    <row r="385" spans="1:8" ht="14.25">
      <c r="A385" s="1112">
        <v>287</v>
      </c>
      <c r="B385" s="1121" t="s">
        <v>1935</v>
      </c>
      <c r="C385" s="1113" t="s">
        <v>2938</v>
      </c>
      <c r="D385" s="877">
        <v>435</v>
      </c>
      <c r="E385" s="877">
        <f>D385*1.15</f>
        <v>500.24999999999994</v>
      </c>
      <c r="F385" s="877" t="s">
        <v>1936</v>
      </c>
      <c r="G385" s="1116"/>
      <c r="H385" s="879">
        <v>24.3</v>
      </c>
    </row>
    <row r="386" spans="1:7" ht="13.5" thickBot="1">
      <c r="A386" s="1136"/>
      <c r="B386" s="1137"/>
      <c r="C386" s="1138"/>
      <c r="D386" s="1139"/>
      <c r="E386" s="1139"/>
      <c r="F386" s="1139"/>
      <c r="G386" s="1140"/>
    </row>
    <row r="387" spans="4:6" ht="13.5" thickTop="1">
      <c r="D387" s="879"/>
      <c r="E387" s="879"/>
      <c r="F387" s="879"/>
    </row>
    <row r="388" spans="1:2" ht="39.75">
      <c r="A388" s="1141" t="s">
        <v>2172</v>
      </c>
      <c r="B388" s="1142" t="s">
        <v>2173</v>
      </c>
    </row>
    <row r="390" ht="14.25">
      <c r="B390" s="1142" t="s">
        <v>2174</v>
      </c>
    </row>
    <row r="392" ht="39.75">
      <c r="B392" s="1142" t="s">
        <v>209</v>
      </c>
    </row>
    <row r="394" ht="14.25">
      <c r="B394" s="1142" t="s">
        <v>210</v>
      </c>
    </row>
    <row r="396" ht="14.25">
      <c r="B396" s="1142" t="s">
        <v>211</v>
      </c>
    </row>
    <row r="399" spans="2:3" ht="12.75">
      <c r="B399" s="438" t="s">
        <v>2136</v>
      </c>
      <c r="C399" s="879"/>
    </row>
    <row r="401" ht="12.75">
      <c r="B401" s="438" t="s">
        <v>1872</v>
      </c>
    </row>
  </sheetData>
  <sheetProtection/>
  <mergeCells count="9">
    <mergeCell ref="A2:G2"/>
    <mergeCell ref="E3:G3"/>
    <mergeCell ref="A4:A5"/>
    <mergeCell ref="B4:B5"/>
    <mergeCell ref="C4:C5"/>
    <mergeCell ref="D4:D5"/>
    <mergeCell ref="E4:E5"/>
    <mergeCell ref="F4:F5"/>
    <mergeCell ref="G4:G5"/>
  </mergeCells>
  <printOptions horizontalCentered="1"/>
  <pageMargins left="0.39" right="0.36" top="0.44" bottom="0.51" header="0.26" footer="0.19"/>
  <pageSetup horizontalDpi="204" verticalDpi="204" orientation="portrait" scale="82" r:id="rId3"/>
  <headerFooter alignWithMargins="0">
    <oddHeader>&amp;C&amp;A</oddHeader>
    <oddFooter>&amp;CPage &amp;P</oddFooter>
  </headerFooter>
  <rowBreaks count="7" manualBreakCount="7">
    <brk id="43" max="6" man="1"/>
    <brk id="94" max="6" man="1"/>
    <brk id="132" max="6" man="1"/>
    <brk id="177" max="6" man="1"/>
    <brk id="221" max="6" man="1"/>
    <brk id="285" max="6" man="1"/>
    <brk id="327" max="6" man="1"/>
  </rowBreaks>
  <legacyDrawing r:id="rId2"/>
</worksheet>
</file>

<file path=xl/worksheets/sheet8.xml><?xml version="1.0" encoding="utf-8"?>
<worksheet xmlns="http://schemas.openxmlformats.org/spreadsheetml/2006/main" xmlns:r="http://schemas.openxmlformats.org/officeDocument/2006/relationships">
  <dimension ref="A1:W971"/>
  <sheetViews>
    <sheetView view="pageBreakPreview" zoomScaleNormal="75" zoomScaleSheetLayoutView="100" zoomScalePageLayoutView="0" workbookViewId="0" topLeftCell="A1">
      <pane ySplit="6" topLeftCell="A7" activePane="bottomLeft" state="frozen"/>
      <selection pane="topLeft" activeCell="A1" sqref="A1"/>
      <selection pane="bottomLeft" activeCell="I8" sqref="I8"/>
    </sheetView>
  </sheetViews>
  <sheetFormatPr defaultColWidth="9.140625" defaultRowHeight="12.75"/>
  <cols>
    <col min="1" max="1" width="4.7109375" style="0" customWidth="1"/>
    <col min="2" max="2" width="14.421875" style="0" customWidth="1"/>
    <col min="3" max="3" width="3.28125" style="163" customWidth="1"/>
    <col min="4" max="4" width="10.00390625" style="0" customWidth="1"/>
    <col min="5" max="5" width="4.421875" style="163" customWidth="1"/>
    <col min="6" max="6" width="5.8515625" style="0" customWidth="1"/>
    <col min="7" max="7" width="7.8515625" style="0" customWidth="1"/>
    <col min="8" max="8" width="8.00390625" style="438" customWidth="1"/>
    <col min="9" max="9" width="8.421875" style="0" customWidth="1"/>
    <col min="10" max="10" width="3.28125" style="0" customWidth="1"/>
    <col min="11" max="11" width="4.140625" style="0" customWidth="1"/>
    <col min="12" max="12" width="6.421875" style="0" customWidth="1"/>
    <col min="13" max="13" width="4.421875" style="0" customWidth="1"/>
    <col min="14" max="14" width="6.421875" style="509" customWidth="1"/>
    <col min="15" max="15" width="4.7109375" style="0" customWidth="1"/>
    <col min="16" max="16" width="3.7109375" style="0" customWidth="1"/>
    <col min="17" max="17" width="4.140625" style="0" customWidth="1"/>
    <col min="18" max="18" width="5.57421875" style="0" customWidth="1"/>
    <col min="19" max="19" width="5.8515625" style="0" customWidth="1"/>
    <col min="20" max="20" width="5.7109375" style="512" customWidth="1"/>
    <col min="21" max="21" width="8.28125" style="0" customWidth="1"/>
    <col min="22" max="22" width="8.140625" style="0" customWidth="1"/>
  </cols>
  <sheetData>
    <row r="1" spans="1:22" ht="13.5" thickBot="1">
      <c r="A1" s="930"/>
      <c r="B1" s="930"/>
      <c r="C1" s="1328" t="s">
        <v>1604</v>
      </c>
      <c r="D1" s="1329"/>
      <c r="E1" s="1329"/>
      <c r="F1" s="1329"/>
      <c r="G1" s="1329"/>
      <c r="H1" s="1329"/>
      <c r="I1" s="1329"/>
      <c r="J1" s="1329"/>
      <c r="K1" s="1330"/>
      <c r="L1" s="930"/>
      <c r="M1" s="930"/>
      <c r="N1" s="930"/>
      <c r="O1" s="930"/>
      <c r="P1" s="930"/>
      <c r="Q1" s="930"/>
      <c r="R1" s="930"/>
      <c r="S1" s="930"/>
      <c r="T1" s="930"/>
      <c r="U1" s="930"/>
      <c r="V1" s="930"/>
    </row>
    <row r="2" spans="1:22" ht="34.5" customHeight="1" thickBot="1">
      <c r="A2" s="930"/>
      <c r="B2" s="930"/>
      <c r="C2" s="1206"/>
      <c r="D2" s="930"/>
      <c r="E2" s="1206"/>
      <c r="F2" s="930"/>
      <c r="G2" s="1331" t="s">
        <v>438</v>
      </c>
      <c r="H2" s="1331"/>
      <c r="I2" s="1331"/>
      <c r="J2" s="930"/>
      <c r="K2" s="966"/>
      <c r="L2" s="1333" t="s">
        <v>400</v>
      </c>
      <c r="M2" s="1333"/>
      <c r="N2" s="1333"/>
      <c r="O2" s="930"/>
      <c r="P2" s="930"/>
      <c r="Q2" s="1332" t="s">
        <v>3074</v>
      </c>
      <c r="R2" s="1332"/>
      <c r="S2" s="1332"/>
      <c r="T2" s="1332"/>
      <c r="U2" s="1207">
        <v>1</v>
      </c>
      <c r="V2" s="930"/>
    </row>
    <row r="3" spans="1:22" ht="13.5" thickBot="1">
      <c r="A3" s="930"/>
      <c r="B3" s="1208" t="s">
        <v>2401</v>
      </c>
      <c r="C3" s="1209"/>
      <c r="D3" s="930"/>
      <c r="E3" s="1206"/>
      <c r="F3" s="930"/>
      <c r="G3" s="1210"/>
      <c r="H3" s="930"/>
      <c r="I3" s="930"/>
      <c r="J3" s="930"/>
      <c r="K3" s="966"/>
      <c r="L3" s="1313"/>
      <c r="M3" s="1313"/>
      <c r="N3" s="1313"/>
      <c r="O3" s="1211"/>
      <c r="P3" s="1211"/>
      <c r="Q3" s="1332" t="s">
        <v>2403</v>
      </c>
      <c r="R3" s="1332"/>
      <c r="S3" s="1332"/>
      <c r="T3" s="1332"/>
      <c r="U3" s="1212">
        <f>'Overhead &amp; profit'!C276%</f>
        <v>0.34834455000000003</v>
      </c>
      <c r="V3" s="930"/>
    </row>
    <row r="4" spans="1:22" ht="13.5" thickBot="1">
      <c r="A4" s="930"/>
      <c r="B4" s="1208" t="s">
        <v>2402</v>
      </c>
      <c r="C4" s="1209"/>
      <c r="D4" s="1210"/>
      <c r="E4" s="1206"/>
      <c r="F4" s="930"/>
      <c r="G4" s="930"/>
      <c r="H4" s="930"/>
      <c r="I4" s="930"/>
      <c r="J4" s="930"/>
      <c r="K4" s="966"/>
      <c r="L4" s="1313"/>
      <c r="M4" s="1313"/>
      <c r="N4" s="1313"/>
      <c r="O4" s="1325" t="s">
        <v>2043</v>
      </c>
      <c r="P4" s="1326"/>
      <c r="Q4" s="1326"/>
      <c r="R4" s="1326"/>
      <c r="S4" s="1326"/>
      <c r="T4" s="1326"/>
      <c r="U4" s="1207">
        <f>U2+U3</f>
        <v>1.34834455</v>
      </c>
      <c r="V4" s="930"/>
    </row>
    <row r="5" spans="1:22" ht="12.75">
      <c r="A5" s="1213"/>
      <c r="B5" s="1214"/>
      <c r="C5" s="1215"/>
      <c r="D5" s="1314" t="s">
        <v>2404</v>
      </c>
      <c r="E5" s="1315"/>
      <c r="F5" s="1315"/>
      <c r="G5" s="1315"/>
      <c r="H5" s="1316"/>
      <c r="I5" s="1317" t="s">
        <v>3222</v>
      </c>
      <c r="J5" s="1318"/>
      <c r="K5" s="1318"/>
      <c r="L5" s="1318"/>
      <c r="M5" s="1318"/>
      <c r="N5" s="1319"/>
      <c r="O5" s="1314" t="s">
        <v>1516</v>
      </c>
      <c r="P5" s="1315"/>
      <c r="Q5" s="1315"/>
      <c r="R5" s="1315"/>
      <c r="S5" s="1315"/>
      <c r="T5" s="1315"/>
      <c r="U5" s="1315"/>
      <c r="V5" s="1316"/>
    </row>
    <row r="6" spans="1:22" s="64" customFormat="1" ht="57" thickBot="1">
      <c r="A6" s="1216" t="s">
        <v>2183</v>
      </c>
      <c r="B6" s="1217" t="s">
        <v>1063</v>
      </c>
      <c r="C6" s="1218" t="s">
        <v>2247</v>
      </c>
      <c r="D6" s="1216" t="s">
        <v>2184</v>
      </c>
      <c r="E6" s="1219" t="s">
        <v>2185</v>
      </c>
      <c r="F6" s="1219" t="s">
        <v>2405</v>
      </c>
      <c r="G6" s="1220" t="s">
        <v>2406</v>
      </c>
      <c r="H6" s="1221" t="s">
        <v>2407</v>
      </c>
      <c r="I6" s="1216" t="s">
        <v>3223</v>
      </c>
      <c r="J6" s="1220" t="s">
        <v>2556</v>
      </c>
      <c r="K6" s="1222" t="s">
        <v>2408</v>
      </c>
      <c r="L6" s="1223" t="s">
        <v>1061</v>
      </c>
      <c r="M6" s="1223" t="s">
        <v>2409</v>
      </c>
      <c r="N6" s="1221" t="s">
        <v>2410</v>
      </c>
      <c r="O6" s="1216" t="s">
        <v>2411</v>
      </c>
      <c r="P6" s="1224" t="s">
        <v>2556</v>
      </c>
      <c r="Q6" s="1223" t="s">
        <v>2408</v>
      </c>
      <c r="R6" s="1223" t="s">
        <v>2412</v>
      </c>
      <c r="S6" s="1223" t="s">
        <v>2413</v>
      </c>
      <c r="T6" s="1223" t="s">
        <v>2407</v>
      </c>
      <c r="U6" s="1223" t="s">
        <v>1065</v>
      </c>
      <c r="V6" s="1221" t="s">
        <v>1062</v>
      </c>
    </row>
    <row r="7" spans="1:22" ht="32.25" customHeight="1">
      <c r="A7" s="1225"/>
      <c r="B7" s="1334" t="s">
        <v>3224</v>
      </c>
      <c r="C7" s="1335"/>
      <c r="D7" s="1226"/>
      <c r="E7" s="1227"/>
      <c r="F7" s="1228"/>
      <c r="G7" s="1228"/>
      <c r="H7" s="1229"/>
      <c r="I7" s="1230"/>
      <c r="J7" s="1231"/>
      <c r="K7" s="1232"/>
      <c r="L7" s="1231"/>
      <c r="M7" s="1231"/>
      <c r="N7" s="1233"/>
      <c r="O7" s="1226"/>
      <c r="P7" s="1231"/>
      <c r="Q7" s="1231"/>
      <c r="R7" s="1231"/>
      <c r="S7" s="1231"/>
      <c r="T7" s="1231"/>
      <c r="U7" s="1231"/>
      <c r="V7" s="1233"/>
    </row>
    <row r="8" spans="1:22" ht="12.75">
      <c r="A8" s="1234">
        <v>1</v>
      </c>
      <c r="B8" s="1235" t="s">
        <v>270</v>
      </c>
      <c r="C8" s="1236"/>
      <c r="D8" s="1234"/>
      <c r="E8" s="943"/>
      <c r="F8" s="942"/>
      <c r="G8" s="942"/>
      <c r="H8" s="1237"/>
      <c r="I8" s="1234" t="s">
        <v>2864</v>
      </c>
      <c r="J8" s="942">
        <v>1</v>
      </c>
      <c r="K8" s="949">
        <v>1</v>
      </c>
      <c r="L8" s="949">
        <f>'Labour Cost'!F29</f>
        <v>22.049999999999997</v>
      </c>
      <c r="M8" s="942">
        <v>350</v>
      </c>
      <c r="N8" s="952">
        <f>J8*K8*L8/M8</f>
        <v>0.06299999999999999</v>
      </c>
      <c r="O8" s="1234" t="s">
        <v>2865</v>
      </c>
      <c r="P8" s="942">
        <v>1</v>
      </c>
      <c r="Q8" s="942">
        <v>1</v>
      </c>
      <c r="R8" s="949">
        <f>'Equip. Rental Rate'!AB33</f>
        <v>631.6117365361945</v>
      </c>
      <c r="S8" s="949">
        <v>350</v>
      </c>
      <c r="T8" s="942">
        <f>P8*Q8*R8/S8</f>
        <v>1.8046049615319844</v>
      </c>
      <c r="U8" s="949"/>
      <c r="V8" s="1237"/>
    </row>
    <row r="9" spans="1:22" ht="12.75">
      <c r="A9" s="1234"/>
      <c r="B9" s="1235" t="s">
        <v>2077</v>
      </c>
      <c r="C9" s="1236"/>
      <c r="D9" s="1234"/>
      <c r="E9" s="943"/>
      <c r="F9" s="942"/>
      <c r="G9" s="942"/>
      <c r="H9" s="1237"/>
      <c r="I9" s="1234" t="s">
        <v>2862</v>
      </c>
      <c r="J9" s="942">
        <v>1</v>
      </c>
      <c r="K9" s="949">
        <v>1</v>
      </c>
      <c r="L9" s="1238">
        <f>'Labour Cost'!F29</f>
        <v>22.049999999999997</v>
      </c>
      <c r="M9" s="942">
        <v>300</v>
      </c>
      <c r="N9" s="952">
        <f>J9*K9*L9/M9</f>
        <v>0.0735</v>
      </c>
      <c r="O9" s="1234" t="s">
        <v>1192</v>
      </c>
      <c r="P9" s="942">
        <v>1</v>
      </c>
      <c r="Q9" s="942">
        <v>1</v>
      </c>
      <c r="R9" s="955">
        <f>'Equip. Rental Rate'!AB43</f>
        <v>1121.2911804851205</v>
      </c>
      <c r="S9" s="949">
        <v>350</v>
      </c>
      <c r="T9" s="942">
        <f>P9*Q9*R9/S9</f>
        <v>3.2036890871003445</v>
      </c>
      <c r="U9" s="942"/>
      <c r="V9" s="1237"/>
    </row>
    <row r="10" spans="1:22" ht="12.75">
      <c r="A10" s="1234"/>
      <c r="B10" s="1235" t="s">
        <v>274</v>
      </c>
      <c r="C10" s="1236" t="s">
        <v>24</v>
      </c>
      <c r="D10" s="1234"/>
      <c r="E10" s="943"/>
      <c r="F10" s="942"/>
      <c r="G10" s="942"/>
      <c r="H10" s="1237"/>
      <c r="I10" s="1234" t="s">
        <v>275</v>
      </c>
      <c r="J10" s="942">
        <v>1</v>
      </c>
      <c r="K10" s="949">
        <v>1</v>
      </c>
      <c r="L10" s="1238">
        <f>'Labour Cost'!F7</f>
        <v>20.81362580128205</v>
      </c>
      <c r="M10" s="942">
        <v>300</v>
      </c>
      <c r="N10" s="952">
        <f>J10*K10*L10/M10</f>
        <v>0.06937875267094017</v>
      </c>
      <c r="O10" s="1234" t="s">
        <v>277</v>
      </c>
      <c r="P10" s="942">
        <v>4</v>
      </c>
      <c r="Q10" s="942">
        <v>1</v>
      </c>
      <c r="R10" s="942">
        <f>0.16*2</f>
        <v>0.32</v>
      </c>
      <c r="S10" s="949">
        <v>350</v>
      </c>
      <c r="T10" s="942">
        <f>P10*Q10*R10/S10</f>
        <v>0.003657142857142857</v>
      </c>
      <c r="U10" s="942"/>
      <c r="V10" s="1237"/>
    </row>
    <row r="11" spans="1:22" ht="12.75">
      <c r="A11" s="1234"/>
      <c r="B11" s="942"/>
      <c r="C11" s="1236"/>
      <c r="D11" s="1234"/>
      <c r="E11" s="943"/>
      <c r="F11" s="942"/>
      <c r="G11" s="942"/>
      <c r="H11" s="1237"/>
      <c r="I11" s="1234" t="s">
        <v>2863</v>
      </c>
      <c r="J11" s="942">
        <v>4</v>
      </c>
      <c r="K11" s="949">
        <v>1</v>
      </c>
      <c r="L11" s="1239">
        <f>'Labour Cost'!F25</f>
        <v>4.375</v>
      </c>
      <c r="M11" s="942">
        <v>300</v>
      </c>
      <c r="N11" s="952">
        <f>J11*K11*L11/M11</f>
        <v>0.058333333333333334</v>
      </c>
      <c r="O11" s="1234"/>
      <c r="P11" s="942"/>
      <c r="Q11" s="942"/>
      <c r="R11" s="942"/>
      <c r="S11" s="942"/>
      <c r="T11" s="942"/>
      <c r="U11" s="949"/>
      <c r="V11" s="952"/>
    </row>
    <row r="12" spans="1:22" ht="12.75">
      <c r="A12" s="1240"/>
      <c r="B12" s="1241"/>
      <c r="C12" s="1242"/>
      <c r="D12" s="1240"/>
      <c r="E12" s="1243"/>
      <c r="F12" s="1241"/>
      <c r="G12" s="1241"/>
      <c r="H12" s="1244"/>
      <c r="I12" s="1240"/>
      <c r="J12" s="1241"/>
      <c r="K12" s="1245"/>
      <c r="L12" s="1246"/>
      <c r="M12" s="1241"/>
      <c r="N12" s="1247">
        <f>SUM(N8:N11)</f>
        <v>0.2642120860042735</v>
      </c>
      <c r="O12" s="1240"/>
      <c r="P12" s="1241"/>
      <c r="Q12" s="1241"/>
      <c r="R12" s="1241"/>
      <c r="S12" s="1241"/>
      <c r="T12" s="1241">
        <f>SUM(T8:T11)</f>
        <v>5.011951191489471</v>
      </c>
      <c r="U12" s="1245">
        <f>SUM(N12:T12)</f>
        <v>5.276163277493745</v>
      </c>
      <c r="V12" s="1247">
        <f>U12*$U$4</f>
        <v>7.114086000118828</v>
      </c>
    </row>
    <row r="13" spans="1:22" ht="12.75">
      <c r="A13" s="1234"/>
      <c r="B13" s="942"/>
      <c r="C13" s="1236"/>
      <c r="D13" s="1234"/>
      <c r="E13" s="943"/>
      <c r="F13" s="942"/>
      <c r="G13" s="942"/>
      <c r="H13" s="1237"/>
      <c r="I13" s="1234"/>
      <c r="J13" s="942"/>
      <c r="K13" s="949"/>
      <c r="L13" s="942"/>
      <c r="M13" s="942"/>
      <c r="N13" s="952"/>
      <c r="O13" s="1234"/>
      <c r="P13" s="942"/>
      <c r="Q13" s="942"/>
      <c r="R13" s="942"/>
      <c r="S13" s="942"/>
      <c r="T13" s="942"/>
      <c r="U13" s="949"/>
      <c r="V13" s="1247"/>
    </row>
    <row r="14" spans="1:22" ht="12.75">
      <c r="A14" s="1234">
        <v>2</v>
      </c>
      <c r="B14" s="1235" t="s">
        <v>1188</v>
      </c>
      <c r="C14" s="1236"/>
      <c r="D14" s="1234"/>
      <c r="E14" s="943"/>
      <c r="F14" s="942"/>
      <c r="G14" s="942"/>
      <c r="H14" s="1237"/>
      <c r="I14" s="1234" t="s">
        <v>275</v>
      </c>
      <c r="J14" s="942">
        <v>1</v>
      </c>
      <c r="K14" s="949">
        <v>1</v>
      </c>
      <c r="L14" s="1239">
        <f>'Labour Cost'!F7</f>
        <v>20.81362580128205</v>
      </c>
      <c r="M14" s="942">
        <v>80</v>
      </c>
      <c r="N14" s="952">
        <f>J14*K14*L14/M14</f>
        <v>0.2601703225160256</v>
      </c>
      <c r="O14" s="1234" t="s">
        <v>1193</v>
      </c>
      <c r="P14" s="942">
        <v>1</v>
      </c>
      <c r="Q14" s="942">
        <v>1</v>
      </c>
      <c r="R14" s="949">
        <f>'Equip. Rental Rate'!AB33</f>
        <v>631.6117365361945</v>
      </c>
      <c r="S14" s="942">
        <v>80</v>
      </c>
      <c r="T14" s="949">
        <f>(P14*Q14*R14)/S14</f>
        <v>7.895146706702431</v>
      </c>
      <c r="U14" s="949"/>
      <c r="V14" s="1247"/>
    </row>
    <row r="15" spans="1:22" ht="12.75">
      <c r="A15" s="1234"/>
      <c r="B15" s="1235" t="s">
        <v>1189</v>
      </c>
      <c r="C15" s="1236"/>
      <c r="D15" s="1234"/>
      <c r="E15" s="943"/>
      <c r="F15" s="942"/>
      <c r="G15" s="942"/>
      <c r="H15" s="1237"/>
      <c r="I15" s="1234" t="s">
        <v>2861</v>
      </c>
      <c r="J15" s="942">
        <v>1</v>
      </c>
      <c r="K15" s="949">
        <v>1</v>
      </c>
      <c r="L15" s="1239">
        <f>'Labour Cost'!F29</f>
        <v>22.049999999999997</v>
      </c>
      <c r="M15" s="942">
        <f>M14</f>
        <v>80</v>
      </c>
      <c r="N15" s="952">
        <f>J15*K15*L15/M15</f>
        <v>0.27562499999999995</v>
      </c>
      <c r="O15" s="1234" t="s">
        <v>1192</v>
      </c>
      <c r="P15" s="942">
        <v>1</v>
      </c>
      <c r="Q15" s="942">
        <v>1</v>
      </c>
      <c r="R15" s="955">
        <f>'Equip. Rental Rate'!AB43</f>
        <v>1121.2911804851205</v>
      </c>
      <c r="S15" s="942">
        <f>S14</f>
        <v>80</v>
      </c>
      <c r="T15" s="949">
        <f>(P15*Q15*R15)/S15</f>
        <v>14.016139756064007</v>
      </c>
      <c r="U15" s="949"/>
      <c r="V15" s="1247"/>
    </row>
    <row r="16" spans="1:22" ht="12.75">
      <c r="A16" s="1234"/>
      <c r="B16" s="1235" t="s">
        <v>1190</v>
      </c>
      <c r="C16" s="1236" t="s">
        <v>484</v>
      </c>
      <c r="D16" s="1234"/>
      <c r="E16" s="943"/>
      <c r="F16" s="942"/>
      <c r="G16" s="942"/>
      <c r="H16" s="1237"/>
      <c r="I16" s="1234" t="s">
        <v>2862</v>
      </c>
      <c r="J16" s="942">
        <v>1</v>
      </c>
      <c r="K16" s="949">
        <v>1</v>
      </c>
      <c r="L16" s="1239">
        <f>'Labour Cost'!F29</f>
        <v>22.049999999999997</v>
      </c>
      <c r="M16" s="942">
        <f>M14</f>
        <v>80</v>
      </c>
      <c r="N16" s="952">
        <f>J16*K16*L16/M16</f>
        <v>0.27562499999999995</v>
      </c>
      <c r="O16" s="1234" t="s">
        <v>272</v>
      </c>
      <c r="P16" s="942">
        <v>4</v>
      </c>
      <c r="Q16" s="942">
        <v>1</v>
      </c>
      <c r="R16" s="942">
        <f>R10</f>
        <v>0.32</v>
      </c>
      <c r="S16" s="942">
        <f>S14</f>
        <v>80</v>
      </c>
      <c r="T16" s="949">
        <f>(P16*Q16*R16)/S16</f>
        <v>0.016</v>
      </c>
      <c r="U16" s="949"/>
      <c r="V16" s="1247"/>
    </row>
    <row r="17" spans="1:22" ht="12.75">
      <c r="A17" s="1234"/>
      <c r="B17" s="942"/>
      <c r="C17" s="1236"/>
      <c r="D17" s="1234"/>
      <c r="E17" s="943"/>
      <c r="F17" s="942"/>
      <c r="G17" s="942"/>
      <c r="H17" s="1237"/>
      <c r="I17" s="1234" t="s">
        <v>2863</v>
      </c>
      <c r="J17" s="942">
        <v>4</v>
      </c>
      <c r="K17" s="949">
        <v>1</v>
      </c>
      <c r="L17" s="1239">
        <f>'Labour Cost'!F25</f>
        <v>4.375</v>
      </c>
      <c r="M17" s="942">
        <f>M14</f>
        <v>80</v>
      </c>
      <c r="N17" s="952">
        <f>J17*K17*L17/M17</f>
        <v>0.21875</v>
      </c>
      <c r="O17" s="1234"/>
      <c r="P17" s="942"/>
      <c r="Q17" s="942"/>
      <c r="R17" s="942"/>
      <c r="S17" s="942"/>
      <c r="T17" s="942"/>
      <c r="U17" s="949"/>
      <c r="V17" s="1247"/>
    </row>
    <row r="18" spans="1:22" ht="12.75">
      <c r="A18" s="1240"/>
      <c r="B18" s="1241"/>
      <c r="C18" s="1242"/>
      <c r="D18" s="1240"/>
      <c r="E18" s="1243"/>
      <c r="F18" s="1241"/>
      <c r="G18" s="1241"/>
      <c r="H18" s="1244"/>
      <c r="I18" s="1240"/>
      <c r="J18" s="1241"/>
      <c r="K18" s="1245"/>
      <c r="L18" s="1241"/>
      <c r="M18" s="1241"/>
      <c r="N18" s="1247">
        <f>SUM(N14:N17)</f>
        <v>1.0301703225160255</v>
      </c>
      <c r="O18" s="1240"/>
      <c r="P18" s="1241"/>
      <c r="Q18" s="1241"/>
      <c r="R18" s="1241"/>
      <c r="S18" s="1241"/>
      <c r="T18" s="1245">
        <f>SUM(T14:T17)</f>
        <v>21.927286462766435</v>
      </c>
      <c r="U18" s="1245">
        <f>SUM(N18:T18)</f>
        <v>22.95745678528246</v>
      </c>
      <c r="V18" s="1247">
        <f>U18*$U$4</f>
        <v>30.954561738296125</v>
      </c>
    </row>
    <row r="19" spans="1:22" ht="12.75">
      <c r="A19" s="1234"/>
      <c r="B19" s="942"/>
      <c r="C19" s="1236"/>
      <c r="D19" s="1234"/>
      <c r="E19" s="943"/>
      <c r="F19" s="942"/>
      <c r="G19" s="942"/>
      <c r="H19" s="1237"/>
      <c r="I19" s="1234"/>
      <c r="J19" s="942"/>
      <c r="K19" s="949"/>
      <c r="L19" s="942"/>
      <c r="M19" s="942"/>
      <c r="N19" s="952"/>
      <c r="O19" s="1234"/>
      <c r="P19" s="942"/>
      <c r="Q19" s="942"/>
      <c r="R19" s="942"/>
      <c r="S19" s="942"/>
      <c r="T19" s="942"/>
      <c r="U19" s="949"/>
      <c r="V19" s="1247"/>
    </row>
    <row r="20" spans="1:22" ht="12.75">
      <c r="A20" s="1234">
        <v>3</v>
      </c>
      <c r="B20" s="1235" t="s">
        <v>276</v>
      </c>
      <c r="C20" s="1236"/>
      <c r="D20" s="1234"/>
      <c r="E20" s="943"/>
      <c r="F20" s="942"/>
      <c r="G20" s="942"/>
      <c r="H20" s="1237"/>
      <c r="I20" s="1234" t="s">
        <v>374</v>
      </c>
      <c r="J20" s="942">
        <v>1</v>
      </c>
      <c r="K20" s="949">
        <v>0.1</v>
      </c>
      <c r="L20" s="949">
        <f>'Labour Cost'!F20</f>
        <v>8.75</v>
      </c>
      <c r="M20" s="942">
        <v>0.35</v>
      </c>
      <c r="N20" s="952">
        <f>J20*K20*L20/M20</f>
        <v>2.5</v>
      </c>
      <c r="O20" s="1234" t="s">
        <v>277</v>
      </c>
      <c r="P20" s="955">
        <v>2</v>
      </c>
      <c r="Q20" s="955">
        <v>1</v>
      </c>
      <c r="R20" s="942">
        <f>R10</f>
        <v>0.32</v>
      </c>
      <c r="S20" s="949">
        <v>0.35</v>
      </c>
      <c r="T20" s="949">
        <f>P20*Q20*R20/S20</f>
        <v>1.8285714285714287</v>
      </c>
      <c r="U20" s="949"/>
      <c r="V20" s="1247"/>
    </row>
    <row r="21" spans="1:22" ht="12.75">
      <c r="A21" s="1234"/>
      <c r="B21" s="1235" t="s">
        <v>2807</v>
      </c>
      <c r="C21" s="1236" t="s">
        <v>25</v>
      </c>
      <c r="D21" s="1234"/>
      <c r="E21" s="943"/>
      <c r="F21" s="942"/>
      <c r="G21" s="942"/>
      <c r="H21" s="1237"/>
      <c r="I21" s="1234" t="s">
        <v>3225</v>
      </c>
      <c r="J21" s="942">
        <v>2</v>
      </c>
      <c r="K21" s="949">
        <v>1</v>
      </c>
      <c r="L21" s="1238">
        <f>'Labour Cost'!F21</f>
        <v>8.75</v>
      </c>
      <c r="M21" s="942">
        <v>0.35</v>
      </c>
      <c r="N21" s="952">
        <f>J21*K21*L21/M21</f>
        <v>50</v>
      </c>
      <c r="O21" s="1234"/>
      <c r="P21" s="955"/>
      <c r="Q21" s="955"/>
      <c r="R21" s="942"/>
      <c r="S21" s="942"/>
      <c r="T21" s="949"/>
      <c r="U21" s="942"/>
      <c r="V21" s="1247"/>
    </row>
    <row r="22" spans="1:22" ht="12.75">
      <c r="A22" s="1234"/>
      <c r="B22" s="942"/>
      <c r="C22" s="1236"/>
      <c r="D22" s="1234"/>
      <c r="E22" s="943"/>
      <c r="F22" s="942"/>
      <c r="G22" s="942"/>
      <c r="H22" s="1237"/>
      <c r="I22" s="1234" t="s">
        <v>275</v>
      </c>
      <c r="J22" s="942">
        <v>1</v>
      </c>
      <c r="K22" s="949">
        <v>0.05</v>
      </c>
      <c r="L22" s="1238">
        <f>L10</f>
        <v>20.81362580128205</v>
      </c>
      <c r="M22" s="942">
        <v>0.35</v>
      </c>
      <c r="N22" s="952">
        <f>J22*K22*L22/M22</f>
        <v>2.9733751144688645</v>
      </c>
      <c r="O22" s="1234"/>
      <c r="P22" s="942"/>
      <c r="Q22" s="942"/>
      <c r="R22" s="942"/>
      <c r="S22" s="942"/>
      <c r="T22" s="949"/>
      <c r="U22" s="942"/>
      <c r="V22" s="1247"/>
    </row>
    <row r="23" spans="1:22" ht="12.75">
      <c r="A23" s="1240"/>
      <c r="B23" s="1241"/>
      <c r="C23" s="1242"/>
      <c r="D23" s="1240"/>
      <c r="E23" s="1243"/>
      <c r="F23" s="1241"/>
      <c r="G23" s="1241"/>
      <c r="H23" s="1244"/>
      <c r="I23" s="1240"/>
      <c r="J23" s="1241"/>
      <c r="K23" s="1245"/>
      <c r="L23" s="1241"/>
      <c r="M23" s="1241"/>
      <c r="N23" s="1247">
        <f>SUM(N20:N22)</f>
        <v>55.473375114468865</v>
      </c>
      <c r="O23" s="1240"/>
      <c r="P23" s="1241"/>
      <c r="Q23" s="1241"/>
      <c r="R23" s="1241"/>
      <c r="S23" s="1241"/>
      <c r="T23" s="1245">
        <f>SUM(T20:T22)</f>
        <v>1.8285714285714287</v>
      </c>
      <c r="U23" s="1245">
        <f>N23+T23</f>
        <v>57.301946543040295</v>
      </c>
      <c r="V23" s="1247">
        <f>U23*$U$4</f>
        <v>77.26276732569973</v>
      </c>
    </row>
    <row r="24" spans="1:22" ht="12.75">
      <c r="A24" s="1234"/>
      <c r="B24" s="942"/>
      <c r="C24" s="1236"/>
      <c r="D24" s="1234"/>
      <c r="E24" s="943"/>
      <c r="F24" s="942"/>
      <c r="G24" s="942"/>
      <c r="H24" s="1237"/>
      <c r="I24" s="1234"/>
      <c r="J24" s="942"/>
      <c r="K24" s="949"/>
      <c r="L24" s="942"/>
      <c r="M24" s="942"/>
      <c r="N24" s="1237"/>
      <c r="O24" s="1234"/>
      <c r="P24" s="942"/>
      <c r="Q24" s="942"/>
      <c r="R24" s="942"/>
      <c r="S24" s="942"/>
      <c r="T24" s="942"/>
      <c r="U24" s="942"/>
      <c r="V24" s="952"/>
    </row>
    <row r="25" spans="1:22" ht="12.75">
      <c r="A25" s="1234">
        <v>4</v>
      </c>
      <c r="B25" s="1235" t="s">
        <v>1096</v>
      </c>
      <c r="C25" s="1236"/>
      <c r="D25" s="1234"/>
      <c r="E25" s="943"/>
      <c r="F25" s="942"/>
      <c r="G25" s="942"/>
      <c r="H25" s="1237"/>
      <c r="I25" s="1234" t="s">
        <v>271</v>
      </c>
      <c r="J25" s="942">
        <v>1</v>
      </c>
      <c r="K25" s="949">
        <v>0.1</v>
      </c>
      <c r="L25" s="949">
        <f>L20</f>
        <v>8.75</v>
      </c>
      <c r="M25" s="942">
        <v>0.25</v>
      </c>
      <c r="N25" s="952">
        <f>J25*K25*L25/M25</f>
        <v>3.5</v>
      </c>
      <c r="O25" s="1234" t="s">
        <v>277</v>
      </c>
      <c r="P25" s="949">
        <v>2</v>
      </c>
      <c r="Q25" s="955">
        <v>1</v>
      </c>
      <c r="R25" s="942">
        <f>R10</f>
        <v>0.32</v>
      </c>
      <c r="S25" s="949">
        <v>0.25</v>
      </c>
      <c r="T25" s="942">
        <f>P25*Q25*R25/0.25</f>
        <v>2.56</v>
      </c>
      <c r="U25" s="949"/>
      <c r="V25" s="952"/>
    </row>
    <row r="26" spans="1:22" ht="12.75">
      <c r="A26" s="1234"/>
      <c r="B26" s="1235" t="s">
        <v>2998</v>
      </c>
      <c r="C26" s="1236"/>
      <c r="D26" s="1234"/>
      <c r="E26" s="943"/>
      <c r="F26" s="942"/>
      <c r="G26" s="942"/>
      <c r="H26" s="1237"/>
      <c r="I26" s="1234" t="s">
        <v>3225</v>
      </c>
      <c r="J26" s="942">
        <v>2</v>
      </c>
      <c r="K26" s="949">
        <v>1</v>
      </c>
      <c r="L26" s="1238">
        <f>L21</f>
        <v>8.75</v>
      </c>
      <c r="M26" s="942">
        <v>0.25</v>
      </c>
      <c r="N26" s="1237">
        <f>J26*K26*L26/M26</f>
        <v>70</v>
      </c>
      <c r="O26" s="1234"/>
      <c r="P26" s="942"/>
      <c r="Q26" s="942"/>
      <c r="R26" s="942"/>
      <c r="S26" s="942"/>
      <c r="T26" s="942"/>
      <c r="U26" s="942"/>
      <c r="V26" s="952"/>
    </row>
    <row r="27" spans="1:22" ht="12.75">
      <c r="A27" s="1234"/>
      <c r="B27" s="1235" t="s">
        <v>2999</v>
      </c>
      <c r="C27" s="1236" t="s">
        <v>25</v>
      </c>
      <c r="D27" s="1234"/>
      <c r="E27" s="943"/>
      <c r="F27" s="942"/>
      <c r="G27" s="942"/>
      <c r="H27" s="1237"/>
      <c r="I27" s="1234" t="s">
        <v>275</v>
      </c>
      <c r="J27" s="942">
        <v>1</v>
      </c>
      <c r="K27" s="949">
        <v>0.05</v>
      </c>
      <c r="L27" s="1238">
        <f>L22</f>
        <v>20.81362580128205</v>
      </c>
      <c r="M27" s="942">
        <v>0.25</v>
      </c>
      <c r="N27" s="952">
        <f>J27*K27*L27/M27</f>
        <v>4.16272516025641</v>
      </c>
      <c r="O27" s="1234"/>
      <c r="P27" s="942"/>
      <c r="Q27" s="942"/>
      <c r="R27" s="942"/>
      <c r="S27" s="942"/>
      <c r="T27" s="942"/>
      <c r="U27" s="942"/>
      <c r="V27" s="952"/>
    </row>
    <row r="28" spans="1:22" ht="12.75">
      <c r="A28" s="1240"/>
      <c r="B28" s="1241"/>
      <c r="C28" s="1242"/>
      <c r="D28" s="1240"/>
      <c r="E28" s="1243"/>
      <c r="F28" s="1241"/>
      <c r="G28" s="1241"/>
      <c r="H28" s="1244"/>
      <c r="I28" s="1240"/>
      <c r="J28" s="1241"/>
      <c r="K28" s="1245"/>
      <c r="L28" s="1241"/>
      <c r="M28" s="1241"/>
      <c r="N28" s="1247">
        <f>SUM(N25:N27)</f>
        <v>77.66272516025641</v>
      </c>
      <c r="O28" s="1240"/>
      <c r="P28" s="1241"/>
      <c r="Q28" s="1241"/>
      <c r="R28" s="1241"/>
      <c r="S28" s="1241"/>
      <c r="T28" s="1241">
        <v>1.28</v>
      </c>
      <c r="U28" s="1241">
        <f>N28+T28</f>
        <v>78.94272516025642</v>
      </c>
      <c r="V28" s="1247">
        <f>U28*$U$4</f>
        <v>106.44199323197961</v>
      </c>
    </row>
    <row r="29" spans="1:22" ht="12.75">
      <c r="A29" s="1234"/>
      <c r="B29" s="942"/>
      <c r="C29" s="1236"/>
      <c r="D29" s="1234"/>
      <c r="E29" s="943"/>
      <c r="F29" s="942"/>
      <c r="G29" s="942"/>
      <c r="H29" s="1237"/>
      <c r="I29" s="1234"/>
      <c r="J29" s="942"/>
      <c r="K29" s="949"/>
      <c r="L29" s="942"/>
      <c r="M29" s="942"/>
      <c r="N29" s="1237"/>
      <c r="O29" s="1234"/>
      <c r="P29" s="942"/>
      <c r="Q29" s="942"/>
      <c r="R29" s="942"/>
      <c r="S29" s="942"/>
      <c r="T29" s="942"/>
      <c r="U29" s="942"/>
      <c r="V29" s="952"/>
    </row>
    <row r="30" spans="1:22" ht="12.75">
      <c r="A30" s="1234">
        <v>5</v>
      </c>
      <c r="B30" s="1235" t="s">
        <v>3000</v>
      </c>
      <c r="C30" s="1236"/>
      <c r="D30" s="1234"/>
      <c r="E30" s="943"/>
      <c r="F30" s="942"/>
      <c r="G30" s="942"/>
      <c r="H30" s="1237"/>
      <c r="I30" s="1234" t="s">
        <v>271</v>
      </c>
      <c r="J30" s="942">
        <v>1</v>
      </c>
      <c r="K30" s="949">
        <v>0.1</v>
      </c>
      <c r="L30" s="949">
        <f>'Labour Cost'!F20</f>
        <v>8.75</v>
      </c>
      <c r="M30" s="942">
        <v>0.35</v>
      </c>
      <c r="N30" s="952">
        <f>J30*K30*L30/M30</f>
        <v>2.5</v>
      </c>
      <c r="O30" s="1234" t="s">
        <v>277</v>
      </c>
      <c r="P30" s="949">
        <v>2</v>
      </c>
      <c r="Q30" s="949">
        <v>1</v>
      </c>
      <c r="R30" s="942">
        <f>R10</f>
        <v>0.32</v>
      </c>
      <c r="S30" s="949">
        <v>0.35</v>
      </c>
      <c r="T30" s="949">
        <f>P30*Q30*R30/S30</f>
        <v>1.8285714285714287</v>
      </c>
      <c r="U30" s="949"/>
      <c r="V30" s="952"/>
    </row>
    <row r="31" spans="1:22" ht="12.75">
      <c r="A31" s="1234"/>
      <c r="B31" s="1235" t="s">
        <v>3001</v>
      </c>
      <c r="C31" s="1236" t="s">
        <v>25</v>
      </c>
      <c r="D31" s="1234"/>
      <c r="E31" s="943"/>
      <c r="F31" s="942"/>
      <c r="G31" s="942"/>
      <c r="H31" s="1237"/>
      <c r="I31" s="1234" t="s">
        <v>3225</v>
      </c>
      <c r="J31" s="942">
        <v>2</v>
      </c>
      <c r="K31" s="949">
        <v>1</v>
      </c>
      <c r="L31" s="1238">
        <f>'Labour Cost'!F21</f>
        <v>8.75</v>
      </c>
      <c r="M31" s="942">
        <v>0.35</v>
      </c>
      <c r="N31" s="952">
        <f>J31*K31*L31/M31</f>
        <v>50</v>
      </c>
      <c r="O31" s="1234"/>
      <c r="P31" s="942"/>
      <c r="Q31" s="942"/>
      <c r="R31" s="942"/>
      <c r="S31" s="942"/>
      <c r="T31" s="942"/>
      <c r="U31" s="942"/>
      <c r="V31" s="952"/>
    </row>
    <row r="32" spans="1:22" ht="12.75">
      <c r="A32" s="1234"/>
      <c r="B32" s="942"/>
      <c r="C32" s="1236"/>
      <c r="D32" s="1234"/>
      <c r="E32" s="943"/>
      <c r="F32" s="942"/>
      <c r="G32" s="942"/>
      <c r="H32" s="1237"/>
      <c r="I32" s="1234" t="s">
        <v>275</v>
      </c>
      <c r="J32" s="942">
        <v>1</v>
      </c>
      <c r="K32" s="949">
        <v>0.05</v>
      </c>
      <c r="L32" s="1238">
        <f>'Labour Cost'!F7</f>
        <v>20.81362580128205</v>
      </c>
      <c r="M32" s="942">
        <v>0.35</v>
      </c>
      <c r="N32" s="952">
        <f>J32*K32*L32/M32</f>
        <v>2.9733751144688645</v>
      </c>
      <c r="O32" s="1234"/>
      <c r="P32" s="942"/>
      <c r="Q32" s="942"/>
      <c r="R32" s="942"/>
      <c r="S32" s="942"/>
      <c r="T32" s="942"/>
      <c r="U32" s="942"/>
      <c r="V32" s="952"/>
    </row>
    <row r="33" spans="1:22" ht="12.75">
      <c r="A33" s="1240"/>
      <c r="B33" s="1241"/>
      <c r="C33" s="1242"/>
      <c r="D33" s="1240"/>
      <c r="E33" s="1243"/>
      <c r="F33" s="1241"/>
      <c r="G33" s="1241"/>
      <c r="H33" s="1244"/>
      <c r="I33" s="1240"/>
      <c r="J33" s="1241"/>
      <c r="K33" s="1245"/>
      <c r="L33" s="1241"/>
      <c r="M33" s="1241"/>
      <c r="N33" s="1247">
        <f>SUM(N30:N32)</f>
        <v>55.473375114468865</v>
      </c>
      <c r="O33" s="1240"/>
      <c r="P33" s="1241"/>
      <c r="Q33" s="1241"/>
      <c r="R33" s="1241"/>
      <c r="S33" s="1241"/>
      <c r="T33" s="1245">
        <f>SUM(T30:T32)</f>
        <v>1.8285714285714287</v>
      </c>
      <c r="U33" s="1245">
        <f>N33+T33</f>
        <v>57.301946543040295</v>
      </c>
      <c r="V33" s="1247">
        <f>U33*$U$4</f>
        <v>77.26276732569973</v>
      </c>
    </row>
    <row r="34" spans="1:22" ht="12.75">
      <c r="A34" s="1240"/>
      <c r="B34" s="1241"/>
      <c r="C34" s="1242"/>
      <c r="D34" s="1240"/>
      <c r="E34" s="1243"/>
      <c r="F34" s="1241"/>
      <c r="G34" s="1241"/>
      <c r="H34" s="1244"/>
      <c r="I34" s="1240"/>
      <c r="J34" s="1241"/>
      <c r="K34" s="1245"/>
      <c r="L34" s="1241"/>
      <c r="M34" s="1241"/>
      <c r="N34" s="1247"/>
      <c r="O34" s="1240"/>
      <c r="P34" s="1241"/>
      <c r="Q34" s="1241"/>
      <c r="R34" s="1241"/>
      <c r="S34" s="1241"/>
      <c r="T34" s="1245"/>
      <c r="U34" s="1245"/>
      <c r="V34" s="1247"/>
    </row>
    <row r="35" spans="1:22" ht="12.75">
      <c r="A35" s="1234">
        <v>6</v>
      </c>
      <c r="B35" s="1235" t="s">
        <v>3002</v>
      </c>
      <c r="C35" s="1236"/>
      <c r="D35" s="1234"/>
      <c r="E35" s="943"/>
      <c r="F35" s="942"/>
      <c r="G35" s="942"/>
      <c r="H35" s="1237"/>
      <c r="I35" s="1234" t="s">
        <v>271</v>
      </c>
      <c r="J35" s="942">
        <v>1</v>
      </c>
      <c r="K35" s="949">
        <v>0.1</v>
      </c>
      <c r="L35" s="949">
        <f>'Labour Cost'!F20</f>
        <v>8.75</v>
      </c>
      <c r="M35" s="942">
        <v>0.25</v>
      </c>
      <c r="N35" s="952">
        <f>J35*K35*L35/M35</f>
        <v>3.5</v>
      </c>
      <c r="O35" s="1234" t="s">
        <v>277</v>
      </c>
      <c r="P35" s="949">
        <v>2</v>
      </c>
      <c r="Q35" s="949">
        <v>1</v>
      </c>
      <c r="R35" s="942">
        <f>R10</f>
        <v>0.32</v>
      </c>
      <c r="S35" s="949">
        <v>0.25</v>
      </c>
      <c r="T35" s="942">
        <f>P35*Q35*R35/0.25</f>
        <v>2.56</v>
      </c>
      <c r="U35" s="949"/>
      <c r="V35" s="952"/>
    </row>
    <row r="36" spans="1:22" ht="12.75">
      <c r="A36" s="1234"/>
      <c r="B36" s="1248" t="s">
        <v>3003</v>
      </c>
      <c r="C36" s="1236" t="s">
        <v>25</v>
      </c>
      <c r="D36" s="1234"/>
      <c r="E36" s="943"/>
      <c r="F36" s="942"/>
      <c r="G36" s="942"/>
      <c r="H36" s="1237"/>
      <c r="I36" s="1234" t="s">
        <v>3225</v>
      </c>
      <c r="J36" s="942">
        <v>2</v>
      </c>
      <c r="K36" s="949">
        <v>1</v>
      </c>
      <c r="L36" s="1238">
        <f>'Labour Cost'!F21</f>
        <v>8.75</v>
      </c>
      <c r="M36" s="942">
        <v>0.25</v>
      </c>
      <c r="N36" s="952">
        <f>J36*K36*L36/M36</f>
        <v>70</v>
      </c>
      <c r="O36" s="1234"/>
      <c r="P36" s="942"/>
      <c r="Q36" s="942"/>
      <c r="R36" s="942"/>
      <c r="S36" s="942"/>
      <c r="T36" s="942"/>
      <c r="U36" s="942"/>
      <c r="V36" s="952"/>
    </row>
    <row r="37" spans="1:22" ht="12.75">
      <c r="A37" s="1234"/>
      <c r="B37" s="1235"/>
      <c r="C37" s="1236"/>
      <c r="D37" s="1234"/>
      <c r="E37" s="943"/>
      <c r="F37" s="942"/>
      <c r="G37" s="942"/>
      <c r="H37" s="1237"/>
      <c r="I37" s="1234" t="s">
        <v>275</v>
      </c>
      <c r="J37" s="942">
        <v>1</v>
      </c>
      <c r="K37" s="949">
        <v>0.05</v>
      </c>
      <c r="L37" s="1238">
        <f>'Labour Cost'!F7</f>
        <v>20.81362580128205</v>
      </c>
      <c r="M37" s="942">
        <v>0.25</v>
      </c>
      <c r="N37" s="952">
        <f>J37*K37*L37/M37</f>
        <v>4.16272516025641</v>
      </c>
      <c r="O37" s="1234"/>
      <c r="P37" s="942"/>
      <c r="Q37" s="942"/>
      <c r="R37" s="942"/>
      <c r="S37" s="942"/>
      <c r="T37" s="942"/>
      <c r="U37" s="942"/>
      <c r="V37" s="952"/>
    </row>
    <row r="38" spans="1:22" ht="12.75">
      <c r="A38" s="1240"/>
      <c r="B38" s="1249"/>
      <c r="C38" s="1242"/>
      <c r="D38" s="1240"/>
      <c r="E38" s="1243"/>
      <c r="F38" s="1241"/>
      <c r="G38" s="1241"/>
      <c r="H38" s="1244"/>
      <c r="I38" s="1240"/>
      <c r="J38" s="1241"/>
      <c r="K38" s="1245"/>
      <c r="L38" s="1241"/>
      <c r="M38" s="1241"/>
      <c r="N38" s="1247">
        <f>N35+N36+N37</f>
        <v>77.66272516025641</v>
      </c>
      <c r="O38" s="1240"/>
      <c r="P38" s="1241"/>
      <c r="Q38" s="1241"/>
      <c r="R38" s="1241"/>
      <c r="S38" s="1241"/>
      <c r="T38" s="1241">
        <v>1.28</v>
      </c>
      <c r="U38" s="1241">
        <f>N38+T38</f>
        <v>78.94272516025642</v>
      </c>
      <c r="V38" s="1247">
        <f>U38*$U$4</f>
        <v>106.44199323197961</v>
      </c>
    </row>
    <row r="39" spans="1:22" ht="12.75">
      <c r="A39" s="1234"/>
      <c r="B39" s="1235"/>
      <c r="C39" s="1236"/>
      <c r="D39" s="1234"/>
      <c r="E39" s="943"/>
      <c r="F39" s="942"/>
      <c r="G39" s="942"/>
      <c r="H39" s="1237"/>
      <c r="I39" s="1234"/>
      <c r="J39" s="942"/>
      <c r="K39" s="949"/>
      <c r="L39" s="942"/>
      <c r="M39" s="942"/>
      <c r="N39" s="1237"/>
      <c r="O39" s="1234"/>
      <c r="P39" s="942"/>
      <c r="Q39" s="942"/>
      <c r="R39" s="942"/>
      <c r="S39" s="942"/>
      <c r="T39" s="942"/>
      <c r="U39" s="942"/>
      <c r="V39" s="952"/>
    </row>
    <row r="40" spans="1:22" ht="12.75">
      <c r="A40" s="1234">
        <v>7</v>
      </c>
      <c r="B40" s="1235" t="s">
        <v>3196</v>
      </c>
      <c r="C40" s="1236"/>
      <c r="D40" s="1234"/>
      <c r="E40" s="943"/>
      <c r="F40" s="942"/>
      <c r="G40" s="942"/>
      <c r="H40" s="1237"/>
      <c r="I40" s="1234" t="s">
        <v>271</v>
      </c>
      <c r="J40" s="942">
        <v>1</v>
      </c>
      <c r="K40" s="949">
        <v>0.1</v>
      </c>
      <c r="L40" s="949">
        <f>'Labour Cost'!F20</f>
        <v>8.75</v>
      </c>
      <c r="M40" s="942">
        <v>0.5</v>
      </c>
      <c r="N40" s="1237">
        <f>J40*K40*L40/M40</f>
        <v>1.75</v>
      </c>
      <c r="O40" s="1234" t="s">
        <v>277</v>
      </c>
      <c r="P40" s="942">
        <v>4</v>
      </c>
      <c r="Q40" s="942">
        <v>1</v>
      </c>
      <c r="R40" s="942">
        <f>R10</f>
        <v>0.32</v>
      </c>
      <c r="S40" s="942">
        <v>0.5</v>
      </c>
      <c r="T40" s="949">
        <f>P40*R40/S40</f>
        <v>2.56</v>
      </c>
      <c r="U40" s="942"/>
      <c r="V40" s="952"/>
    </row>
    <row r="41" spans="1:22" ht="12.75">
      <c r="A41" s="1234"/>
      <c r="B41" s="1235" t="s">
        <v>3197</v>
      </c>
      <c r="C41" s="1236" t="s">
        <v>25</v>
      </c>
      <c r="D41" s="1234"/>
      <c r="E41" s="943"/>
      <c r="F41" s="942"/>
      <c r="G41" s="942"/>
      <c r="H41" s="1237"/>
      <c r="I41" s="1234" t="s">
        <v>3225</v>
      </c>
      <c r="J41" s="942">
        <v>4</v>
      </c>
      <c r="K41" s="949">
        <v>1</v>
      </c>
      <c r="L41" s="1238">
        <f>'Labour Cost'!F21</f>
        <v>8.75</v>
      </c>
      <c r="M41" s="942">
        <v>0.5</v>
      </c>
      <c r="N41" s="1237">
        <f>J41*K41*L41/M41</f>
        <v>70</v>
      </c>
      <c r="O41" s="1234"/>
      <c r="P41" s="942"/>
      <c r="Q41" s="942"/>
      <c r="R41" s="942"/>
      <c r="S41" s="942"/>
      <c r="T41" s="942"/>
      <c r="U41" s="942"/>
      <c r="V41" s="952"/>
    </row>
    <row r="42" spans="1:22" ht="12.75">
      <c r="A42" s="1234"/>
      <c r="B42" s="1235"/>
      <c r="C42" s="1236"/>
      <c r="D42" s="1234"/>
      <c r="E42" s="943"/>
      <c r="F42" s="942"/>
      <c r="G42" s="942"/>
      <c r="H42" s="1237"/>
      <c r="I42" s="1234" t="s">
        <v>275</v>
      </c>
      <c r="J42" s="942">
        <v>1</v>
      </c>
      <c r="K42" s="949">
        <v>0.05</v>
      </c>
      <c r="L42" s="1238">
        <f>'Labour Cost'!F7</f>
        <v>20.81362580128205</v>
      </c>
      <c r="M42" s="942">
        <v>0.5</v>
      </c>
      <c r="N42" s="1237">
        <f>J42*K42*L42/M42</f>
        <v>2.081362580128205</v>
      </c>
      <c r="O42" s="1234"/>
      <c r="P42" s="942"/>
      <c r="Q42" s="942"/>
      <c r="R42" s="942"/>
      <c r="S42" s="942"/>
      <c r="T42" s="942"/>
      <c r="U42" s="942"/>
      <c r="V42" s="952"/>
    </row>
    <row r="43" spans="1:22" ht="12.75">
      <c r="A43" s="1240"/>
      <c r="B43" s="1249"/>
      <c r="C43" s="1242"/>
      <c r="D43" s="1240"/>
      <c r="E43" s="1243"/>
      <c r="F43" s="1241"/>
      <c r="G43" s="1241"/>
      <c r="H43" s="1244"/>
      <c r="I43" s="1240"/>
      <c r="J43" s="1241"/>
      <c r="K43" s="1245"/>
      <c r="L43" s="1241"/>
      <c r="M43" s="1241"/>
      <c r="N43" s="1244">
        <f>SUM(N40:N42)</f>
        <v>73.8313625801282</v>
      </c>
      <c r="O43" s="1240"/>
      <c r="P43" s="1241"/>
      <c r="Q43" s="1241"/>
      <c r="R43" s="1241"/>
      <c r="S43" s="1241"/>
      <c r="T43" s="1245">
        <f>SUM(T40:T42)</f>
        <v>2.56</v>
      </c>
      <c r="U43" s="1241">
        <f>N43+T43</f>
        <v>76.3913625801282</v>
      </c>
      <c r="V43" s="1247">
        <f>U43*$U$4</f>
        <v>103.0018774019898</v>
      </c>
    </row>
    <row r="44" spans="1:22" ht="12.75">
      <c r="A44" s="1234"/>
      <c r="B44" s="1235"/>
      <c r="C44" s="1236"/>
      <c r="D44" s="1234"/>
      <c r="E44" s="943"/>
      <c r="F44" s="942"/>
      <c r="G44" s="942"/>
      <c r="H44" s="1237"/>
      <c r="I44" s="1234"/>
      <c r="J44" s="942"/>
      <c r="K44" s="949"/>
      <c r="L44" s="942"/>
      <c r="M44" s="942"/>
      <c r="N44" s="1237"/>
      <c r="O44" s="1234"/>
      <c r="P44" s="942"/>
      <c r="Q44" s="942"/>
      <c r="R44" s="942"/>
      <c r="S44" s="942"/>
      <c r="T44" s="942"/>
      <c r="U44" s="942"/>
      <c r="V44" s="952"/>
    </row>
    <row r="45" spans="1:22" ht="12.75">
      <c r="A45" s="1234">
        <v>8</v>
      </c>
      <c r="B45" s="1235" t="s">
        <v>3198</v>
      </c>
      <c r="C45" s="1236"/>
      <c r="D45" s="1234" t="s">
        <v>1282</v>
      </c>
      <c r="E45" s="943" t="s">
        <v>25</v>
      </c>
      <c r="F45" s="942">
        <v>1.2</v>
      </c>
      <c r="G45" s="949">
        <f>'Material price'!D12</f>
        <v>25</v>
      </c>
      <c r="H45" s="1237">
        <f>F45*G45</f>
        <v>30</v>
      </c>
      <c r="I45" s="1234" t="s">
        <v>271</v>
      </c>
      <c r="J45" s="942">
        <v>1</v>
      </c>
      <c r="K45" s="949">
        <v>0.1</v>
      </c>
      <c r="L45" s="949">
        <f>'Labour Cost'!F20</f>
        <v>8.75</v>
      </c>
      <c r="M45" s="942">
        <v>0.6</v>
      </c>
      <c r="N45" s="1237">
        <f>J45*K45*L45/M45</f>
        <v>1.4583333333333335</v>
      </c>
      <c r="O45" s="1234" t="s">
        <v>277</v>
      </c>
      <c r="P45" s="942">
        <v>4</v>
      </c>
      <c r="Q45" s="942">
        <v>1</v>
      </c>
      <c r="R45" s="942">
        <f>R10</f>
        <v>0.32</v>
      </c>
      <c r="S45" s="942">
        <v>0.6</v>
      </c>
      <c r="T45" s="949">
        <f>P45*R45/S45</f>
        <v>2.1333333333333333</v>
      </c>
      <c r="U45" s="949"/>
      <c r="V45" s="952"/>
    </row>
    <row r="46" spans="1:22" ht="12.75">
      <c r="A46" s="1234"/>
      <c r="B46" s="1235" t="s">
        <v>1283</v>
      </c>
      <c r="C46" s="1236" t="s">
        <v>25</v>
      </c>
      <c r="D46" s="1234"/>
      <c r="E46" s="943"/>
      <c r="F46" s="942"/>
      <c r="G46" s="942"/>
      <c r="H46" s="1237"/>
      <c r="I46" s="1234" t="s">
        <v>3225</v>
      </c>
      <c r="J46" s="942">
        <v>4</v>
      </c>
      <c r="K46" s="949">
        <v>1</v>
      </c>
      <c r="L46" s="1238">
        <f>'Labour Cost'!F21</f>
        <v>8.75</v>
      </c>
      <c r="M46" s="942">
        <v>0.6</v>
      </c>
      <c r="N46" s="1237">
        <f>J46*K46*L46/M46</f>
        <v>58.333333333333336</v>
      </c>
      <c r="O46" s="1234"/>
      <c r="P46" s="942"/>
      <c r="Q46" s="942"/>
      <c r="R46" s="942"/>
      <c r="S46" s="942"/>
      <c r="T46" s="942"/>
      <c r="U46" s="942"/>
      <c r="V46" s="952"/>
    </row>
    <row r="47" spans="1:22" ht="12.75">
      <c r="A47" s="1234"/>
      <c r="B47" s="1235"/>
      <c r="C47" s="1236"/>
      <c r="D47" s="1234"/>
      <c r="E47" s="943"/>
      <c r="F47" s="942"/>
      <c r="G47" s="942"/>
      <c r="H47" s="1237"/>
      <c r="I47" s="1234" t="s">
        <v>275</v>
      </c>
      <c r="J47" s="942">
        <v>1</v>
      </c>
      <c r="K47" s="949">
        <v>0.05</v>
      </c>
      <c r="L47" s="1238">
        <f>'Labour Cost'!F7</f>
        <v>20.81362580128205</v>
      </c>
      <c r="M47" s="942">
        <v>0.6</v>
      </c>
      <c r="N47" s="1237">
        <f>J47*K47*L47/M47</f>
        <v>1.7344688167735043</v>
      </c>
      <c r="O47" s="1234"/>
      <c r="P47" s="942"/>
      <c r="Q47" s="942"/>
      <c r="R47" s="942"/>
      <c r="S47" s="942"/>
      <c r="T47" s="942"/>
      <c r="U47" s="942"/>
      <c r="V47" s="952"/>
    </row>
    <row r="48" spans="1:22" ht="12.75">
      <c r="A48" s="1240"/>
      <c r="B48" s="1249"/>
      <c r="C48" s="1242"/>
      <c r="D48" s="1240"/>
      <c r="E48" s="1243"/>
      <c r="F48" s="1241"/>
      <c r="G48" s="1241"/>
      <c r="H48" s="1244">
        <f>SUM(H45:H47)</f>
        <v>30</v>
      </c>
      <c r="I48" s="1240"/>
      <c r="J48" s="1241"/>
      <c r="K48" s="1245"/>
      <c r="L48" s="1241"/>
      <c r="M48" s="1241"/>
      <c r="N48" s="1247">
        <f>SUM(N45:N47)</f>
        <v>61.52613548344018</v>
      </c>
      <c r="O48" s="1240"/>
      <c r="P48" s="1241"/>
      <c r="Q48" s="1241"/>
      <c r="R48" s="1241"/>
      <c r="S48" s="1241"/>
      <c r="T48" s="1245">
        <f>SUM(T45:T47)</f>
        <v>2.1333333333333333</v>
      </c>
      <c r="U48" s="1245">
        <f>T48+N48+H48</f>
        <v>93.65946881677351</v>
      </c>
      <c r="V48" s="1247">
        <f>U48*$U$4</f>
        <v>126.28523433499151</v>
      </c>
    </row>
    <row r="49" spans="1:22" ht="12.75">
      <c r="A49" s="1234"/>
      <c r="B49" s="1235"/>
      <c r="C49" s="1236"/>
      <c r="D49" s="1234"/>
      <c r="E49" s="943"/>
      <c r="F49" s="942"/>
      <c r="G49" s="942"/>
      <c r="H49" s="1237"/>
      <c r="I49" s="1234"/>
      <c r="J49" s="942"/>
      <c r="K49" s="949"/>
      <c r="L49" s="942"/>
      <c r="M49" s="942"/>
      <c r="N49" s="1237"/>
      <c r="O49" s="1234"/>
      <c r="P49" s="942"/>
      <c r="Q49" s="942"/>
      <c r="R49" s="942"/>
      <c r="S49" s="942"/>
      <c r="T49" s="942"/>
      <c r="U49" s="942"/>
      <c r="V49" s="952"/>
    </row>
    <row r="50" spans="1:22" ht="12.75">
      <c r="A50" s="1234">
        <v>9</v>
      </c>
      <c r="B50" s="1235" t="s">
        <v>3191</v>
      </c>
      <c r="C50" s="1236" t="s">
        <v>25</v>
      </c>
      <c r="D50" s="1234"/>
      <c r="E50" s="943"/>
      <c r="F50" s="942"/>
      <c r="G50" s="942"/>
      <c r="H50" s="1237"/>
      <c r="I50" s="1234" t="s">
        <v>453</v>
      </c>
      <c r="J50" s="942">
        <v>1</v>
      </c>
      <c r="K50" s="949">
        <v>1</v>
      </c>
      <c r="L50" s="1238">
        <f>'Labour Cost'!F28</f>
        <v>15.399999999999999</v>
      </c>
      <c r="M50" s="942">
        <v>50</v>
      </c>
      <c r="N50" s="1250">
        <f>J50*K50*L50/M50</f>
        <v>0.308</v>
      </c>
      <c r="O50" s="1234" t="s">
        <v>263</v>
      </c>
      <c r="P50" s="942">
        <v>1</v>
      </c>
      <c r="Q50" s="942">
        <v>1</v>
      </c>
      <c r="R50" s="955">
        <f>'Equip. Rental Rate'!AB35</f>
        <v>1089.7655167838593</v>
      </c>
      <c r="S50" s="942">
        <v>50</v>
      </c>
      <c r="T50" s="949">
        <f>P50*Q50*R50/S50</f>
        <v>21.795310335677186</v>
      </c>
      <c r="U50" s="942"/>
      <c r="V50" s="952"/>
    </row>
    <row r="51" spans="1:22" ht="12.75">
      <c r="A51" s="1234"/>
      <c r="B51" s="1235"/>
      <c r="C51" s="1236"/>
      <c r="D51" s="1234"/>
      <c r="E51" s="943"/>
      <c r="F51" s="942"/>
      <c r="G51" s="942"/>
      <c r="H51" s="1237"/>
      <c r="I51" s="1234" t="s">
        <v>456</v>
      </c>
      <c r="J51" s="942">
        <v>3</v>
      </c>
      <c r="K51" s="949">
        <v>1</v>
      </c>
      <c r="L51" s="1238">
        <f>'Labour Cost'!F26</f>
        <v>9.42375</v>
      </c>
      <c r="M51" s="942">
        <v>50</v>
      </c>
      <c r="N51" s="1250">
        <f>J51*K51*L51/M51</f>
        <v>0.5654250000000001</v>
      </c>
      <c r="O51" s="1234" t="s">
        <v>455</v>
      </c>
      <c r="P51" s="942">
        <v>3</v>
      </c>
      <c r="Q51" s="942">
        <v>1</v>
      </c>
      <c r="R51" s="955">
        <f>'Equip. Rental Rate'!AB8</f>
        <v>823.0841624895322</v>
      </c>
      <c r="S51" s="942">
        <v>50</v>
      </c>
      <c r="T51" s="949">
        <f>P51*Q51*R51/S51</f>
        <v>49.38504974937194</v>
      </c>
      <c r="U51" s="942"/>
      <c r="V51" s="952"/>
    </row>
    <row r="52" spans="1:22" ht="12.75">
      <c r="A52" s="1234"/>
      <c r="B52" s="1235"/>
      <c r="C52" s="1236"/>
      <c r="D52" s="1234"/>
      <c r="E52" s="943"/>
      <c r="F52" s="942"/>
      <c r="G52" s="942"/>
      <c r="H52" s="1237"/>
      <c r="I52" s="1234" t="s">
        <v>2424</v>
      </c>
      <c r="J52" s="942">
        <v>2</v>
      </c>
      <c r="K52" s="949">
        <v>1</v>
      </c>
      <c r="L52" s="1238">
        <f>'Labour Cost'!F21</f>
        <v>8.75</v>
      </c>
      <c r="M52" s="942">
        <v>50</v>
      </c>
      <c r="N52" s="1250">
        <f>J52*K52*L52/M52</f>
        <v>0.35</v>
      </c>
      <c r="O52" s="1234" t="s">
        <v>277</v>
      </c>
      <c r="P52" s="942">
        <v>4</v>
      </c>
      <c r="Q52" s="942">
        <v>1</v>
      </c>
      <c r="R52" s="942">
        <f>R10</f>
        <v>0.32</v>
      </c>
      <c r="S52" s="942">
        <v>50</v>
      </c>
      <c r="T52" s="949">
        <f>P52*Q52*R52/S52</f>
        <v>0.0256</v>
      </c>
      <c r="U52" s="942"/>
      <c r="V52" s="952"/>
    </row>
    <row r="53" spans="1:22" ht="12.75">
      <c r="A53" s="1234"/>
      <c r="B53" s="1235"/>
      <c r="C53" s="1236"/>
      <c r="D53" s="1234"/>
      <c r="E53" s="943"/>
      <c r="F53" s="942"/>
      <c r="G53" s="942"/>
      <c r="H53" s="1237"/>
      <c r="I53" s="1234" t="s">
        <v>275</v>
      </c>
      <c r="J53" s="942">
        <v>1</v>
      </c>
      <c r="K53" s="949">
        <v>0.25</v>
      </c>
      <c r="L53" s="1238">
        <f>'Labour Cost'!F7</f>
        <v>20.81362580128205</v>
      </c>
      <c r="M53" s="942">
        <v>50</v>
      </c>
      <c r="N53" s="1250">
        <f>J53*K53*L53/M53</f>
        <v>0.10406812900641026</v>
      </c>
      <c r="O53" s="1234"/>
      <c r="P53" s="942"/>
      <c r="Q53" s="942"/>
      <c r="R53" s="942"/>
      <c r="S53" s="942"/>
      <c r="T53" s="942"/>
      <c r="U53" s="942"/>
      <c r="V53" s="952"/>
    </row>
    <row r="54" spans="1:22" ht="12.75">
      <c r="A54" s="1240"/>
      <c r="B54" s="1249"/>
      <c r="C54" s="1242"/>
      <c r="D54" s="1240"/>
      <c r="E54" s="1243"/>
      <c r="F54" s="1241"/>
      <c r="G54" s="1241"/>
      <c r="H54" s="1244"/>
      <c r="I54" s="1240"/>
      <c r="J54" s="1241"/>
      <c r="K54" s="1245"/>
      <c r="L54" s="1241"/>
      <c r="M54" s="1241"/>
      <c r="N54" s="1251">
        <f>SUM(N50:N53)</f>
        <v>1.3274931290064105</v>
      </c>
      <c r="O54" s="1240"/>
      <c r="P54" s="1241"/>
      <c r="Q54" s="1241"/>
      <c r="R54" s="1241"/>
      <c r="S54" s="1241"/>
      <c r="T54" s="1245">
        <f>SUM(T50:T53)</f>
        <v>71.20596008504913</v>
      </c>
      <c r="U54" s="1245">
        <f>T54+N54</f>
        <v>72.53345321405554</v>
      </c>
      <c r="V54" s="1247">
        <f>U54*$U$4</f>
        <v>97.80008633385177</v>
      </c>
    </row>
    <row r="55" spans="1:22" ht="12.75">
      <c r="A55" s="1234"/>
      <c r="B55" s="1235"/>
      <c r="C55" s="1236"/>
      <c r="D55" s="1234"/>
      <c r="E55" s="943"/>
      <c r="F55" s="942"/>
      <c r="G55" s="942"/>
      <c r="H55" s="1237"/>
      <c r="I55" s="1234"/>
      <c r="J55" s="942"/>
      <c r="K55" s="949"/>
      <c r="L55" s="942"/>
      <c r="M55" s="942"/>
      <c r="N55" s="1237"/>
      <c r="O55" s="1234"/>
      <c r="P55" s="942"/>
      <c r="Q55" s="942"/>
      <c r="R55" s="942"/>
      <c r="S55" s="942"/>
      <c r="T55" s="942"/>
      <c r="U55" s="942"/>
      <c r="V55" s="952"/>
    </row>
    <row r="56" spans="1:22" ht="12.75">
      <c r="A56" s="1234">
        <v>10</v>
      </c>
      <c r="B56" s="1235" t="s">
        <v>1284</v>
      </c>
      <c r="C56" s="1236" t="s">
        <v>24</v>
      </c>
      <c r="D56" s="1234" t="s">
        <v>1285</v>
      </c>
      <c r="E56" s="943" t="s">
        <v>25</v>
      </c>
      <c r="F56" s="942">
        <v>0.35</v>
      </c>
      <c r="G56" s="1238">
        <f>'Material price'!D10</f>
        <v>156.52</v>
      </c>
      <c r="H56" s="1237">
        <f>F56*G56</f>
        <v>54.782000000000004</v>
      </c>
      <c r="I56" s="1234" t="s">
        <v>1286</v>
      </c>
      <c r="J56" s="942">
        <v>1</v>
      </c>
      <c r="K56" s="949">
        <v>1</v>
      </c>
      <c r="L56" s="1238">
        <f>'Labour Cost'!F8</f>
        <v>31.499999999999996</v>
      </c>
      <c r="M56" s="942">
        <v>1.5</v>
      </c>
      <c r="N56" s="1237">
        <f>K56*L56/M56</f>
        <v>20.999999999999996</v>
      </c>
      <c r="O56" s="1234" t="s">
        <v>277</v>
      </c>
      <c r="P56" s="942">
        <v>3</v>
      </c>
      <c r="Q56" s="942">
        <v>1</v>
      </c>
      <c r="R56" s="942">
        <f>R10</f>
        <v>0.32</v>
      </c>
      <c r="S56" s="942">
        <f>'[3]Ambo'!$L$450</f>
        <v>2</v>
      </c>
      <c r="T56" s="942">
        <f>P56*Q56*R56/1.5</f>
        <v>0.64</v>
      </c>
      <c r="U56" s="942"/>
      <c r="V56" s="952"/>
    </row>
    <row r="57" spans="1:22" ht="12.75">
      <c r="A57" s="1234"/>
      <c r="B57" s="1235" t="s">
        <v>1287</v>
      </c>
      <c r="C57" s="1236"/>
      <c r="D57" s="1234"/>
      <c r="E57" s="943"/>
      <c r="F57" s="942"/>
      <c r="G57" s="942"/>
      <c r="H57" s="1237"/>
      <c r="I57" s="1234" t="s">
        <v>3225</v>
      </c>
      <c r="J57" s="942">
        <v>3</v>
      </c>
      <c r="K57" s="949">
        <v>1</v>
      </c>
      <c r="L57" s="1238">
        <f>'Labour Cost'!F21</f>
        <v>8.75</v>
      </c>
      <c r="M57" s="942">
        <v>1.5</v>
      </c>
      <c r="N57" s="1237">
        <f>J57*K57*L57/M57</f>
        <v>17.5</v>
      </c>
      <c r="O57" s="1234"/>
      <c r="P57" s="942"/>
      <c r="Q57" s="942"/>
      <c r="R57" s="942"/>
      <c r="S57" s="942"/>
      <c r="T57" s="942"/>
      <c r="U57" s="942"/>
      <c r="V57" s="952"/>
    </row>
    <row r="58" spans="1:22" ht="12.75">
      <c r="A58" s="1234"/>
      <c r="B58" s="1235"/>
      <c r="C58" s="1236"/>
      <c r="D58" s="1234"/>
      <c r="E58" s="943"/>
      <c r="F58" s="942"/>
      <c r="G58" s="942"/>
      <c r="H58" s="1237"/>
      <c r="I58" s="1234" t="s">
        <v>275</v>
      </c>
      <c r="J58" s="942">
        <v>1</v>
      </c>
      <c r="K58" s="949">
        <v>0.1</v>
      </c>
      <c r="L58" s="1238">
        <f>'Labour Cost'!F7</f>
        <v>20.81362580128205</v>
      </c>
      <c r="M58" s="942">
        <v>1.5</v>
      </c>
      <c r="N58" s="1237">
        <f>J58*K58*L58/M58</f>
        <v>1.3875750534188034</v>
      </c>
      <c r="O58" s="1234"/>
      <c r="P58" s="942"/>
      <c r="Q58" s="942"/>
      <c r="R58" s="942"/>
      <c r="S58" s="942"/>
      <c r="T58" s="942"/>
      <c r="U58" s="942"/>
      <c r="V58" s="952"/>
    </row>
    <row r="59" spans="1:22" ht="12.75">
      <c r="A59" s="1240"/>
      <c r="B59" s="1249"/>
      <c r="C59" s="1242"/>
      <c r="D59" s="1240"/>
      <c r="E59" s="1243"/>
      <c r="F59" s="1241"/>
      <c r="G59" s="1241"/>
      <c r="H59" s="1244">
        <f>SUM(H56:H58)</f>
        <v>54.782000000000004</v>
      </c>
      <c r="I59" s="1240"/>
      <c r="J59" s="1241"/>
      <c r="K59" s="1245"/>
      <c r="L59" s="1241"/>
      <c r="M59" s="1241"/>
      <c r="N59" s="1244">
        <f>SUM(N56:N58)</f>
        <v>39.8875750534188</v>
      </c>
      <c r="O59" s="1240"/>
      <c r="P59" s="1241"/>
      <c r="Q59" s="1241"/>
      <c r="R59" s="1241"/>
      <c r="S59" s="1241"/>
      <c r="T59" s="1241">
        <f>SUM(T56:T58)</f>
        <v>0.64</v>
      </c>
      <c r="U59" s="1241">
        <f>T59+N59+H59</f>
        <v>95.3095750534188</v>
      </c>
      <c r="V59" s="1247">
        <f>U59*$U$4</f>
        <v>128.5101460860932</v>
      </c>
    </row>
    <row r="60" spans="1:22" ht="12.75">
      <c r="A60" s="1234"/>
      <c r="B60" s="1235"/>
      <c r="C60" s="1236"/>
      <c r="D60" s="1234"/>
      <c r="E60" s="943"/>
      <c r="F60" s="942"/>
      <c r="G60" s="942"/>
      <c r="H60" s="1237"/>
      <c r="I60" s="1234"/>
      <c r="J60" s="942"/>
      <c r="K60" s="949"/>
      <c r="L60" s="942"/>
      <c r="M60" s="942"/>
      <c r="N60" s="1237"/>
      <c r="O60" s="1234"/>
      <c r="P60" s="942"/>
      <c r="Q60" s="942"/>
      <c r="R60" s="942"/>
      <c r="S60" s="942"/>
      <c r="T60" s="942"/>
      <c r="U60" s="942"/>
      <c r="V60" s="1247"/>
    </row>
    <row r="61" spans="1:22" ht="12.75">
      <c r="A61" s="1252">
        <v>11</v>
      </c>
      <c r="B61" s="1235" t="s">
        <v>1706</v>
      </c>
      <c r="C61" s="1236" t="s">
        <v>1840</v>
      </c>
      <c r="D61" s="1234" t="s">
        <v>3226</v>
      </c>
      <c r="E61" s="943"/>
      <c r="F61" s="942"/>
      <c r="G61" s="942"/>
      <c r="H61" s="1237"/>
      <c r="I61" s="1234" t="s">
        <v>275</v>
      </c>
      <c r="J61" s="942">
        <v>1</v>
      </c>
      <c r="K61" s="949">
        <v>0.25</v>
      </c>
      <c r="L61" s="1238">
        <f>'Labour Cost'!F7</f>
        <v>20.81362580128205</v>
      </c>
      <c r="M61" s="942">
        <v>1.5</v>
      </c>
      <c r="N61" s="1253">
        <f>J61*K61*L61/M61</f>
        <v>3.4689376335470086</v>
      </c>
      <c r="O61" s="1234" t="s">
        <v>277</v>
      </c>
      <c r="P61" s="942">
        <v>3</v>
      </c>
      <c r="Q61" s="942">
        <v>1</v>
      </c>
      <c r="R61" s="942">
        <f>R10</f>
        <v>0.32</v>
      </c>
      <c r="S61" s="942">
        <v>1.5</v>
      </c>
      <c r="T61" s="942">
        <f>P61*Q61*R61/1.5</f>
        <v>0.64</v>
      </c>
      <c r="U61" s="942"/>
      <c r="V61" s="1247"/>
    </row>
    <row r="62" spans="1:22" ht="12.75">
      <c r="A62" s="1234"/>
      <c r="B62" s="1235" t="s">
        <v>1707</v>
      </c>
      <c r="C62" s="1236"/>
      <c r="D62" s="1234" t="s">
        <v>1709</v>
      </c>
      <c r="E62" s="943"/>
      <c r="F62" s="942"/>
      <c r="G62" s="942"/>
      <c r="H62" s="1237"/>
      <c r="I62" s="1234" t="s">
        <v>457</v>
      </c>
      <c r="J62" s="942">
        <v>1</v>
      </c>
      <c r="K62" s="949">
        <v>1</v>
      </c>
      <c r="L62" s="1238">
        <f>'Labour Cost'!F14</f>
        <v>26.25</v>
      </c>
      <c r="M62" s="942">
        <v>1.5</v>
      </c>
      <c r="N62" s="1253">
        <f>J62*K62*L62/M62</f>
        <v>17.5</v>
      </c>
      <c r="O62" s="1234"/>
      <c r="P62" s="942"/>
      <c r="Q62" s="942"/>
      <c r="R62" s="942"/>
      <c r="S62" s="942"/>
      <c r="T62" s="942"/>
      <c r="U62" s="942"/>
      <c r="V62" s="1247"/>
    </row>
    <row r="63" spans="1:22" ht="12.75">
      <c r="A63" s="1234"/>
      <c r="B63" s="1235" t="s">
        <v>1708</v>
      </c>
      <c r="C63" s="1236"/>
      <c r="D63" s="1234" t="s">
        <v>1710</v>
      </c>
      <c r="E63" s="943" t="s">
        <v>86</v>
      </c>
      <c r="F63" s="942">
        <v>0.5</v>
      </c>
      <c r="G63" s="949">
        <v>3.05</v>
      </c>
      <c r="H63" s="1237">
        <f>F63*G63</f>
        <v>1.525</v>
      </c>
      <c r="I63" s="1234" t="s">
        <v>3225</v>
      </c>
      <c r="J63" s="942">
        <v>2</v>
      </c>
      <c r="K63" s="949">
        <v>1</v>
      </c>
      <c r="L63" s="1238">
        <f>'Labour Cost'!F21</f>
        <v>8.75</v>
      </c>
      <c r="M63" s="942">
        <v>1.5</v>
      </c>
      <c r="N63" s="1253">
        <f>J63*K63*L63/M63</f>
        <v>11.666666666666666</v>
      </c>
      <c r="O63" s="1234"/>
      <c r="P63" s="942"/>
      <c r="Q63" s="942"/>
      <c r="R63" s="942"/>
      <c r="S63" s="942"/>
      <c r="T63" s="942"/>
      <c r="U63" s="942"/>
      <c r="V63" s="1247"/>
    </row>
    <row r="64" spans="1:22" ht="12.75">
      <c r="A64" s="1234"/>
      <c r="B64" s="1235"/>
      <c r="C64" s="1236"/>
      <c r="D64" s="1234" t="s">
        <v>1711</v>
      </c>
      <c r="E64" s="943" t="s">
        <v>86</v>
      </c>
      <c r="F64" s="942">
        <v>1.7</v>
      </c>
      <c r="G64" s="949">
        <v>3.05</v>
      </c>
      <c r="H64" s="1237">
        <f>F64*G64</f>
        <v>5.185</v>
      </c>
      <c r="I64" s="1234"/>
      <c r="J64" s="942"/>
      <c r="K64" s="949"/>
      <c r="L64" s="942"/>
      <c r="M64" s="942"/>
      <c r="N64" s="1237"/>
      <c r="O64" s="1234"/>
      <c r="P64" s="942"/>
      <c r="Q64" s="942"/>
      <c r="R64" s="942"/>
      <c r="S64" s="942"/>
      <c r="T64" s="942"/>
      <c r="U64" s="942"/>
      <c r="V64" s="1247"/>
    </row>
    <row r="65" spans="1:22" ht="12.75">
      <c r="A65" s="1234"/>
      <c r="B65" s="1235"/>
      <c r="C65" s="1236"/>
      <c r="D65" s="1234" t="s">
        <v>1712</v>
      </c>
      <c r="E65" s="943" t="s">
        <v>1184</v>
      </c>
      <c r="F65" s="942">
        <v>0.25</v>
      </c>
      <c r="G65" s="949">
        <v>2.5</v>
      </c>
      <c r="H65" s="1237">
        <f>F65*G65</f>
        <v>0.625</v>
      </c>
      <c r="I65" s="1234"/>
      <c r="J65" s="942"/>
      <c r="K65" s="949"/>
      <c r="L65" s="942"/>
      <c r="M65" s="942"/>
      <c r="N65" s="1237"/>
      <c r="O65" s="1234"/>
      <c r="P65" s="942"/>
      <c r="Q65" s="942"/>
      <c r="R65" s="942"/>
      <c r="S65" s="942"/>
      <c r="T65" s="942"/>
      <c r="U65" s="942"/>
      <c r="V65" s="1247"/>
    </row>
    <row r="66" spans="1:22" ht="12.75">
      <c r="A66" s="1240"/>
      <c r="B66" s="1241"/>
      <c r="C66" s="1242"/>
      <c r="D66" s="1240"/>
      <c r="E66" s="1243"/>
      <c r="F66" s="1241"/>
      <c r="G66" s="1241"/>
      <c r="H66" s="1244">
        <f>H63+H64+H65</f>
        <v>7.334999999999999</v>
      </c>
      <c r="I66" s="1240"/>
      <c r="J66" s="1241"/>
      <c r="K66" s="1245"/>
      <c r="L66" s="1241"/>
      <c r="M66" s="1241"/>
      <c r="N66" s="1244">
        <f>N61+N62+N63</f>
        <v>32.63560430021367</v>
      </c>
      <c r="O66" s="1240"/>
      <c r="P66" s="1241"/>
      <c r="Q66" s="1241"/>
      <c r="R66" s="1241"/>
      <c r="S66" s="1241"/>
      <c r="T66" s="1241">
        <f>T61*1</f>
        <v>0.64</v>
      </c>
      <c r="U66" s="1241">
        <f>H66+N66+T66</f>
        <v>40.61060430021367</v>
      </c>
      <c r="V66" s="1247">
        <f>U66*$U$4</f>
        <v>54.75708698039967</v>
      </c>
    </row>
    <row r="67" spans="1:22" ht="12.75">
      <c r="A67" s="1234"/>
      <c r="B67" s="942"/>
      <c r="C67" s="1236"/>
      <c r="D67" s="1234"/>
      <c r="E67" s="943"/>
      <c r="F67" s="942"/>
      <c r="G67" s="942"/>
      <c r="H67" s="1237"/>
      <c r="I67" s="1234"/>
      <c r="J67" s="942"/>
      <c r="K67" s="949"/>
      <c r="L67" s="942"/>
      <c r="M67" s="942"/>
      <c r="N67" s="1237"/>
      <c r="O67" s="1234"/>
      <c r="P67" s="942"/>
      <c r="Q67" s="942"/>
      <c r="R67" s="942"/>
      <c r="S67" s="942"/>
      <c r="T67" s="942"/>
      <c r="U67" s="942"/>
      <c r="V67" s="1247"/>
    </row>
    <row r="68" spans="1:22" ht="32.25" customHeight="1">
      <c r="A68" s="1234"/>
      <c r="B68" s="1320" t="s">
        <v>1289</v>
      </c>
      <c r="C68" s="1321"/>
      <c r="D68" s="1254"/>
      <c r="E68" s="1255"/>
      <c r="F68" s="1255"/>
      <c r="G68" s="1255"/>
      <c r="H68" s="1256"/>
      <c r="I68" s="1234"/>
      <c r="J68" s="942"/>
      <c r="K68" s="949"/>
      <c r="L68" s="942"/>
      <c r="M68" s="942"/>
      <c r="N68" s="1237"/>
      <c r="O68" s="1234"/>
      <c r="P68" s="942"/>
      <c r="Q68" s="942"/>
      <c r="R68" s="942"/>
      <c r="S68" s="942"/>
      <c r="T68" s="942"/>
      <c r="U68" s="942"/>
      <c r="V68" s="1247"/>
    </row>
    <row r="69" spans="1:22" ht="12.75">
      <c r="A69" s="1234">
        <v>12</v>
      </c>
      <c r="B69" s="1235" t="s">
        <v>3227</v>
      </c>
      <c r="C69" s="1236" t="s">
        <v>25</v>
      </c>
      <c r="D69" s="1234" t="s">
        <v>1290</v>
      </c>
      <c r="E69" s="943" t="s">
        <v>3095</v>
      </c>
      <c r="F69" s="942">
        <v>1.5</v>
      </c>
      <c r="G69" s="949">
        <f>'Material price'!D7</f>
        <v>255.3913043478261</v>
      </c>
      <c r="H69" s="952">
        <f>F69*G69</f>
        <v>383.0869565217391</v>
      </c>
      <c r="I69" s="1234" t="s">
        <v>275</v>
      </c>
      <c r="J69" s="942">
        <v>1</v>
      </c>
      <c r="K69" s="949">
        <v>0.2</v>
      </c>
      <c r="L69" s="949">
        <f>'Labour Cost'!F7</f>
        <v>20.81362580128205</v>
      </c>
      <c r="M69" s="949">
        <v>1.63</v>
      </c>
      <c r="N69" s="952">
        <f aca="true" t="shared" si="0" ref="N69:N74">J69*K69*L69/1.63</f>
        <v>2.553819116721724</v>
      </c>
      <c r="O69" s="1234" t="s">
        <v>277</v>
      </c>
      <c r="P69" s="955">
        <v>15</v>
      </c>
      <c r="Q69" s="955">
        <v>1</v>
      </c>
      <c r="R69" s="942">
        <f>R10</f>
        <v>0.32</v>
      </c>
      <c r="S69" s="942">
        <v>1.63</v>
      </c>
      <c r="T69" s="942">
        <f>P69*Q69*R69/S69</f>
        <v>2.9447852760736195</v>
      </c>
      <c r="U69" s="942"/>
      <c r="V69" s="1247"/>
    </row>
    <row r="70" spans="1:22" ht="12.75">
      <c r="A70" s="1234"/>
      <c r="B70" s="1235"/>
      <c r="C70" s="1236"/>
      <c r="D70" s="1234" t="s">
        <v>1291</v>
      </c>
      <c r="E70" s="943" t="s">
        <v>484</v>
      </c>
      <c r="F70" s="942">
        <v>0.48</v>
      </c>
      <c r="G70" s="949">
        <f>'Material price'!D8</f>
        <v>312.5</v>
      </c>
      <c r="H70" s="952">
        <f>F70*G70</f>
        <v>150</v>
      </c>
      <c r="I70" s="1234" t="s">
        <v>1292</v>
      </c>
      <c r="J70" s="942">
        <v>1</v>
      </c>
      <c r="K70" s="949">
        <v>1</v>
      </c>
      <c r="L70" s="1238">
        <f>'Labour Cost'!F8</f>
        <v>31.499999999999996</v>
      </c>
      <c r="M70" s="942">
        <v>1.63</v>
      </c>
      <c r="N70" s="952">
        <f t="shared" si="0"/>
        <v>19.32515337423313</v>
      </c>
      <c r="O70" s="1234" t="s">
        <v>614</v>
      </c>
      <c r="P70" s="942">
        <v>1</v>
      </c>
      <c r="Q70" s="942">
        <v>1</v>
      </c>
      <c r="R70" s="949">
        <f>'Equip. Rental Rate'!AB53</f>
        <v>374.08081134749614</v>
      </c>
      <c r="S70" s="942">
        <v>1.63</v>
      </c>
      <c r="T70" s="942">
        <f>P70*Q70*R70/S70</f>
        <v>229.49743027453752</v>
      </c>
      <c r="U70" s="942"/>
      <c r="V70" s="1247"/>
    </row>
    <row r="71" spans="1:22" ht="12.75">
      <c r="A71" s="1234"/>
      <c r="B71" s="1235"/>
      <c r="C71" s="1236"/>
      <c r="D71" s="1234" t="s">
        <v>1043</v>
      </c>
      <c r="E71" s="943" t="s">
        <v>484</v>
      </c>
      <c r="F71" s="942">
        <v>0.95</v>
      </c>
      <c r="G71" s="949">
        <f>'Material price'!D9</f>
        <v>160</v>
      </c>
      <c r="H71" s="952">
        <f>F71*G71</f>
        <v>152</v>
      </c>
      <c r="I71" s="1234" t="s">
        <v>271</v>
      </c>
      <c r="J71" s="942">
        <v>1</v>
      </c>
      <c r="K71" s="949">
        <v>1</v>
      </c>
      <c r="L71" s="1238">
        <f>'Labour Cost'!F20</f>
        <v>8.75</v>
      </c>
      <c r="M71" s="942">
        <v>1.63</v>
      </c>
      <c r="N71" s="952">
        <f t="shared" si="0"/>
        <v>5.368098159509203</v>
      </c>
      <c r="O71" s="1234"/>
      <c r="P71" s="942"/>
      <c r="Q71" s="942"/>
      <c r="R71" s="949"/>
      <c r="S71" s="942"/>
      <c r="T71" s="942"/>
      <c r="U71" s="942"/>
      <c r="V71" s="1247"/>
    </row>
    <row r="72" spans="1:22" ht="12.75">
      <c r="A72" s="1234"/>
      <c r="B72" s="1235"/>
      <c r="C72" s="1236"/>
      <c r="D72" s="1234" t="s">
        <v>616</v>
      </c>
      <c r="E72" s="1257">
        <v>0.05</v>
      </c>
      <c r="F72" s="942"/>
      <c r="G72" s="942"/>
      <c r="H72" s="952">
        <f>H69*0.05</f>
        <v>19.15434782608696</v>
      </c>
      <c r="I72" s="1234" t="s">
        <v>617</v>
      </c>
      <c r="J72" s="942">
        <v>15</v>
      </c>
      <c r="K72" s="949">
        <v>1</v>
      </c>
      <c r="L72" s="1238">
        <f>'Labour Cost'!F21</f>
        <v>8.75</v>
      </c>
      <c r="M72" s="942">
        <v>1.63</v>
      </c>
      <c r="N72" s="952">
        <f t="shared" si="0"/>
        <v>80.52147239263805</v>
      </c>
      <c r="O72" s="1234"/>
      <c r="P72" s="942"/>
      <c r="Q72" s="942"/>
      <c r="R72" s="942"/>
      <c r="S72" s="942"/>
      <c r="T72" s="942"/>
      <c r="U72" s="942"/>
      <c r="V72" s="1247"/>
    </row>
    <row r="73" spans="1:22" ht="12.75">
      <c r="A73" s="1234"/>
      <c r="B73" s="1235"/>
      <c r="C73" s="1236"/>
      <c r="D73" s="1234" t="s">
        <v>618</v>
      </c>
      <c r="E73" s="1257">
        <v>0.01</v>
      </c>
      <c r="F73" s="942"/>
      <c r="G73" s="942"/>
      <c r="H73" s="952">
        <f>H70*0.01</f>
        <v>1.5</v>
      </c>
      <c r="I73" s="1234" t="s">
        <v>619</v>
      </c>
      <c r="J73" s="942">
        <v>1</v>
      </c>
      <c r="K73" s="949">
        <v>1</v>
      </c>
      <c r="L73" s="1238">
        <f>'Labour Cost'!F24</f>
        <v>15.399999999999999</v>
      </c>
      <c r="M73" s="942">
        <v>1.63</v>
      </c>
      <c r="N73" s="952">
        <f t="shared" si="0"/>
        <v>9.447852760736197</v>
      </c>
      <c r="O73" s="1234"/>
      <c r="P73" s="942"/>
      <c r="Q73" s="942"/>
      <c r="R73" s="942"/>
      <c r="S73" s="942"/>
      <c r="T73" s="942"/>
      <c r="U73" s="942"/>
      <c r="V73" s="1247"/>
    </row>
    <row r="74" spans="1:22" ht="12.75">
      <c r="A74" s="1234"/>
      <c r="B74" s="1235"/>
      <c r="C74" s="1236"/>
      <c r="D74" s="1234"/>
      <c r="E74" s="943"/>
      <c r="F74" s="942"/>
      <c r="G74" s="942"/>
      <c r="H74" s="952"/>
      <c r="I74" s="1234"/>
      <c r="J74" s="942"/>
      <c r="K74" s="949"/>
      <c r="L74" s="1238"/>
      <c r="M74" s="942"/>
      <c r="N74" s="952">
        <f t="shared" si="0"/>
        <v>0</v>
      </c>
      <c r="O74" s="1234"/>
      <c r="P74" s="942"/>
      <c r="Q74" s="942"/>
      <c r="R74" s="942"/>
      <c r="S74" s="942"/>
      <c r="T74" s="942"/>
      <c r="U74" s="949"/>
      <c r="V74" s="1247"/>
    </row>
    <row r="75" spans="1:23" ht="12.75">
      <c r="A75" s="1240"/>
      <c r="B75" s="1249"/>
      <c r="C75" s="1242"/>
      <c r="D75" s="1240"/>
      <c r="E75" s="1243"/>
      <c r="F75" s="1241"/>
      <c r="G75" s="1241"/>
      <c r="H75" s="1247">
        <f>SUM(H69:H73)</f>
        <v>705.741304347826</v>
      </c>
      <c r="I75" s="1240"/>
      <c r="J75" s="1241"/>
      <c r="K75" s="1245"/>
      <c r="L75" s="1241"/>
      <c r="M75" s="1241"/>
      <c r="N75" s="1247">
        <f>SUM(N69:N74)</f>
        <v>117.2163958038383</v>
      </c>
      <c r="O75" s="1240"/>
      <c r="P75" s="1241"/>
      <c r="Q75" s="1241"/>
      <c r="R75" s="1241"/>
      <c r="S75" s="1241"/>
      <c r="T75" s="1241">
        <f>SUM(T69:T74)</f>
        <v>232.44221555061114</v>
      </c>
      <c r="U75" s="1245">
        <f>T75+N75+H75</f>
        <v>1055.3999157022754</v>
      </c>
      <c r="V75" s="1247">
        <f>U75*$U$4</f>
        <v>1423.0427244076225</v>
      </c>
      <c r="W75" s="409"/>
    </row>
    <row r="76" spans="1:22" ht="12.75">
      <c r="A76" s="1234"/>
      <c r="B76" s="1235"/>
      <c r="C76" s="1236"/>
      <c r="D76" s="1234"/>
      <c r="E76" s="943"/>
      <c r="F76" s="942"/>
      <c r="G76" s="942"/>
      <c r="H76" s="1237"/>
      <c r="I76" s="1234"/>
      <c r="J76" s="942"/>
      <c r="K76" s="949"/>
      <c r="L76" s="942"/>
      <c r="M76" s="942"/>
      <c r="N76" s="1237"/>
      <c r="O76" s="1234"/>
      <c r="P76" s="942"/>
      <c r="Q76" s="942"/>
      <c r="R76" s="942"/>
      <c r="S76" s="942"/>
      <c r="T76" s="942"/>
      <c r="U76" s="942"/>
      <c r="V76" s="1247"/>
    </row>
    <row r="77" spans="1:22" ht="12.75">
      <c r="A77" s="1234">
        <v>13</v>
      </c>
      <c r="B77" s="1235" t="s">
        <v>620</v>
      </c>
      <c r="C77" s="1236" t="s">
        <v>25</v>
      </c>
      <c r="D77" s="1234" t="s">
        <v>621</v>
      </c>
      <c r="E77" s="943" t="s">
        <v>3095</v>
      </c>
      <c r="F77" s="949">
        <v>2.8</v>
      </c>
      <c r="G77" s="949">
        <f>G69</f>
        <v>255.3913043478261</v>
      </c>
      <c r="H77" s="952">
        <f>F77*G77</f>
        <v>715.095652173913</v>
      </c>
      <c r="I77" s="1234" t="s">
        <v>275</v>
      </c>
      <c r="J77" s="942">
        <v>1</v>
      </c>
      <c r="K77" s="949">
        <v>0.2</v>
      </c>
      <c r="L77" s="1238">
        <f>L69</f>
        <v>20.81362580128205</v>
      </c>
      <c r="M77" s="942">
        <v>1.26</v>
      </c>
      <c r="N77" s="952">
        <f aca="true" t="shared" si="1" ref="N77:N82">J77*K77*L77/M77</f>
        <v>3.303750127187627</v>
      </c>
      <c r="O77" s="1234" t="s">
        <v>277</v>
      </c>
      <c r="P77" s="1258">
        <v>18</v>
      </c>
      <c r="Q77" s="1258">
        <v>1</v>
      </c>
      <c r="R77" s="942">
        <f>R10</f>
        <v>0.32</v>
      </c>
      <c r="S77" s="942">
        <v>1.26</v>
      </c>
      <c r="T77" s="949">
        <f>P77*Q77*R77/1.26</f>
        <v>4.571428571428571</v>
      </c>
      <c r="U77" s="942"/>
      <c r="V77" s="1247"/>
    </row>
    <row r="78" spans="1:22" ht="12.75">
      <c r="A78" s="1234"/>
      <c r="B78" s="1235"/>
      <c r="C78" s="1236"/>
      <c r="D78" s="1234" t="s">
        <v>622</v>
      </c>
      <c r="E78" s="943" t="s">
        <v>484</v>
      </c>
      <c r="F78" s="949">
        <v>0.5</v>
      </c>
      <c r="G78" s="949">
        <f>G70</f>
        <v>312.5</v>
      </c>
      <c r="H78" s="952">
        <f>F78*G78</f>
        <v>156.25</v>
      </c>
      <c r="I78" s="1234" t="s">
        <v>1292</v>
      </c>
      <c r="J78" s="942">
        <v>1</v>
      </c>
      <c r="K78" s="949">
        <v>1</v>
      </c>
      <c r="L78" s="1238">
        <f>L70</f>
        <v>31.499999999999996</v>
      </c>
      <c r="M78" s="942">
        <v>1.26</v>
      </c>
      <c r="N78" s="952">
        <f t="shared" si="1"/>
        <v>24.999999999999996</v>
      </c>
      <c r="O78" s="1234" t="s">
        <v>614</v>
      </c>
      <c r="P78" s="1258">
        <v>1</v>
      </c>
      <c r="Q78" s="1258">
        <v>1</v>
      </c>
      <c r="R78" s="949">
        <f>R70</f>
        <v>374.08081134749614</v>
      </c>
      <c r="S78" s="942">
        <f>S77</f>
        <v>1.26</v>
      </c>
      <c r="T78" s="949">
        <f>P78*Q78*R78/1.26</f>
        <v>296.8895328154731</v>
      </c>
      <c r="U78" s="942"/>
      <c r="V78" s="1247"/>
    </row>
    <row r="79" spans="1:22" ht="12.75">
      <c r="A79" s="1234"/>
      <c r="B79" s="1235"/>
      <c r="C79" s="1236"/>
      <c r="D79" s="1234" t="s">
        <v>3228</v>
      </c>
      <c r="E79" s="943" t="s">
        <v>25</v>
      </c>
      <c r="F79" s="942">
        <v>0.75</v>
      </c>
      <c r="G79" s="949">
        <f>G71</f>
        <v>160</v>
      </c>
      <c r="H79" s="952">
        <f>F79*G79</f>
        <v>120</v>
      </c>
      <c r="I79" s="1234" t="s">
        <v>271</v>
      </c>
      <c r="J79" s="942">
        <v>1</v>
      </c>
      <c r="K79" s="949">
        <v>1</v>
      </c>
      <c r="L79" s="949">
        <f>L71</f>
        <v>8.75</v>
      </c>
      <c r="M79" s="949">
        <v>1.26</v>
      </c>
      <c r="N79" s="952">
        <f t="shared" si="1"/>
        <v>6.944444444444445</v>
      </c>
      <c r="O79" s="1234" t="s">
        <v>3229</v>
      </c>
      <c r="P79" s="1258">
        <v>1</v>
      </c>
      <c r="Q79" s="1258">
        <v>1</v>
      </c>
      <c r="R79" s="949">
        <f>'Equip. Rental Rate'!AB51</f>
        <v>13.487791303925002</v>
      </c>
      <c r="S79" s="942">
        <f>S77</f>
        <v>1.26</v>
      </c>
      <c r="T79" s="949">
        <f>P79*Q79*R79/1.26</f>
        <v>10.704596272956351</v>
      </c>
      <c r="U79" s="942"/>
      <c r="V79" s="1247"/>
    </row>
    <row r="80" spans="1:22" ht="12.75">
      <c r="A80" s="1234"/>
      <c r="B80" s="1235"/>
      <c r="C80" s="1236"/>
      <c r="D80" s="1234" t="s">
        <v>616</v>
      </c>
      <c r="E80" s="1257">
        <v>0.05</v>
      </c>
      <c r="F80" s="942"/>
      <c r="G80" s="1258"/>
      <c r="H80" s="952">
        <f>H77*0.05</f>
        <v>35.75478260869565</v>
      </c>
      <c r="I80" s="1234" t="s">
        <v>1145</v>
      </c>
      <c r="J80" s="942">
        <v>18</v>
      </c>
      <c r="K80" s="949">
        <v>1</v>
      </c>
      <c r="L80" s="1238">
        <f>L72</f>
        <v>8.75</v>
      </c>
      <c r="M80" s="942">
        <v>1.26</v>
      </c>
      <c r="N80" s="952">
        <f t="shared" si="1"/>
        <v>125</v>
      </c>
      <c r="O80" s="1234"/>
      <c r="P80" s="942"/>
      <c r="Q80" s="942"/>
      <c r="R80" s="942"/>
      <c r="S80" s="942"/>
      <c r="T80" s="942"/>
      <c r="U80" s="942"/>
      <c r="V80" s="1247"/>
    </row>
    <row r="81" spans="1:22" ht="12.75">
      <c r="A81" s="1234"/>
      <c r="B81" s="1235"/>
      <c r="C81" s="1236"/>
      <c r="D81" s="1234" t="s">
        <v>618</v>
      </c>
      <c r="E81" s="1257">
        <v>0.01</v>
      </c>
      <c r="F81" s="942"/>
      <c r="G81" s="942"/>
      <c r="H81" s="952">
        <f>H78*0.01</f>
        <v>1.5625</v>
      </c>
      <c r="I81" s="1234" t="s">
        <v>619</v>
      </c>
      <c r="J81" s="942">
        <v>1</v>
      </c>
      <c r="K81" s="949">
        <v>1</v>
      </c>
      <c r="L81" s="1238">
        <f>L73</f>
        <v>15.399999999999999</v>
      </c>
      <c r="M81" s="942">
        <v>1.26</v>
      </c>
      <c r="N81" s="952">
        <f t="shared" si="1"/>
        <v>12.222222222222221</v>
      </c>
      <c r="O81" s="1234"/>
      <c r="P81" s="942"/>
      <c r="Q81" s="942"/>
      <c r="R81" s="942"/>
      <c r="S81" s="942"/>
      <c r="T81" s="942"/>
      <c r="U81" s="942"/>
      <c r="V81" s="1247"/>
    </row>
    <row r="82" spans="1:22" ht="12.75">
      <c r="A82" s="1234"/>
      <c r="B82" s="1235"/>
      <c r="C82" s="1236"/>
      <c r="D82" s="1234"/>
      <c r="E82" s="1257"/>
      <c r="F82" s="942"/>
      <c r="G82" s="942"/>
      <c r="H82" s="952"/>
      <c r="I82" s="1234" t="s">
        <v>1146</v>
      </c>
      <c r="J82" s="942">
        <v>1</v>
      </c>
      <c r="K82" s="949">
        <v>1</v>
      </c>
      <c r="L82" s="1238">
        <f>'Labour Cost'!F24</f>
        <v>15.399999999999999</v>
      </c>
      <c r="M82" s="942">
        <v>1.26</v>
      </c>
      <c r="N82" s="952">
        <f t="shared" si="1"/>
        <v>12.222222222222221</v>
      </c>
      <c r="O82" s="1234"/>
      <c r="P82" s="942"/>
      <c r="Q82" s="942"/>
      <c r="R82" s="942"/>
      <c r="S82" s="942"/>
      <c r="T82" s="942"/>
      <c r="U82" s="942"/>
      <c r="V82" s="1247"/>
    </row>
    <row r="83" spans="1:22" ht="12.75">
      <c r="A83" s="1240"/>
      <c r="B83" s="1249"/>
      <c r="C83" s="1242"/>
      <c r="D83" s="1240"/>
      <c r="E83" s="1243"/>
      <c r="F83" s="1241"/>
      <c r="G83" s="1241"/>
      <c r="H83" s="1247">
        <f>SUM(H77:H82)</f>
        <v>1028.6629347826085</v>
      </c>
      <c r="I83" s="1240"/>
      <c r="J83" s="1241"/>
      <c r="K83" s="1245"/>
      <c r="L83" s="1241"/>
      <c r="M83" s="1241"/>
      <c r="N83" s="1247">
        <f>SUM(N77:N82)</f>
        <v>184.69263901607653</v>
      </c>
      <c r="O83" s="1240"/>
      <c r="P83" s="1241"/>
      <c r="Q83" s="1241"/>
      <c r="R83" s="1241"/>
      <c r="S83" s="1241"/>
      <c r="T83" s="1245">
        <f>SUM(T77:T82)</f>
        <v>312.165557659858</v>
      </c>
      <c r="U83" s="1245">
        <f>T83+N83+H83</f>
        <v>1525.521131458543</v>
      </c>
      <c r="V83" s="1247">
        <f>U83*$U$4</f>
        <v>2056.92810351196</v>
      </c>
    </row>
    <row r="84" spans="1:22" ht="12.75">
      <c r="A84" s="1234"/>
      <c r="B84" s="1235"/>
      <c r="C84" s="1236"/>
      <c r="D84" s="1234"/>
      <c r="E84" s="943"/>
      <c r="F84" s="942"/>
      <c r="G84" s="942"/>
      <c r="H84" s="1237"/>
      <c r="I84" s="1234"/>
      <c r="J84" s="942"/>
      <c r="K84" s="949"/>
      <c r="L84" s="942"/>
      <c r="M84" s="942"/>
      <c r="N84" s="1237"/>
      <c r="O84" s="1234"/>
      <c r="P84" s="942"/>
      <c r="Q84" s="942"/>
      <c r="R84" s="942"/>
      <c r="S84" s="942"/>
      <c r="T84" s="942"/>
      <c r="U84" s="942"/>
      <c r="V84" s="952"/>
    </row>
    <row r="85" spans="1:22" ht="12.75">
      <c r="A85" s="1234">
        <v>14</v>
      </c>
      <c r="B85" s="1235" t="s">
        <v>1147</v>
      </c>
      <c r="C85" s="1236" t="s">
        <v>25</v>
      </c>
      <c r="D85" s="1234" t="s">
        <v>621</v>
      </c>
      <c r="E85" s="943" t="s">
        <v>3095</v>
      </c>
      <c r="F85" s="949">
        <v>3.2</v>
      </c>
      <c r="G85" s="949">
        <f>G69</f>
        <v>255.3913043478261</v>
      </c>
      <c r="H85" s="952">
        <f>F85*G85</f>
        <v>817.2521739130435</v>
      </c>
      <c r="I85" s="1234" t="s">
        <v>275</v>
      </c>
      <c r="J85" s="942">
        <v>1</v>
      </c>
      <c r="K85" s="949">
        <v>0.2</v>
      </c>
      <c r="L85" s="1238">
        <f aca="true" t="shared" si="2" ref="L85:L90">L77</f>
        <v>20.81362580128205</v>
      </c>
      <c r="M85" s="942">
        <v>1.26</v>
      </c>
      <c r="N85" s="952">
        <f>J85*K85*L85/M85</f>
        <v>3.303750127187627</v>
      </c>
      <c r="O85" s="1234" t="s">
        <v>277</v>
      </c>
      <c r="P85" s="942">
        <v>15</v>
      </c>
      <c r="Q85" s="942">
        <v>1</v>
      </c>
      <c r="R85" s="942">
        <f>R10</f>
        <v>0.32</v>
      </c>
      <c r="S85" s="942">
        <f>S77</f>
        <v>1.26</v>
      </c>
      <c r="T85" s="949">
        <f>P85*Q85*R85/1.26</f>
        <v>3.8095238095238093</v>
      </c>
      <c r="U85" s="942"/>
      <c r="V85" s="952"/>
    </row>
    <row r="86" spans="1:22" ht="12.75">
      <c r="A86" s="1234"/>
      <c r="B86" s="1235"/>
      <c r="C86" s="1236"/>
      <c r="D86" s="1234" t="s">
        <v>622</v>
      </c>
      <c r="E86" s="943" t="s">
        <v>484</v>
      </c>
      <c r="F86" s="949">
        <v>0.5</v>
      </c>
      <c r="G86" s="949">
        <f>G78</f>
        <v>312.5</v>
      </c>
      <c r="H86" s="952">
        <f>F86*G86</f>
        <v>156.25</v>
      </c>
      <c r="I86" s="1234" t="s">
        <v>1292</v>
      </c>
      <c r="J86" s="942">
        <v>1</v>
      </c>
      <c r="K86" s="949">
        <v>1</v>
      </c>
      <c r="L86" s="1238">
        <f t="shared" si="2"/>
        <v>31.499999999999996</v>
      </c>
      <c r="M86" s="942">
        <v>1.26</v>
      </c>
      <c r="N86" s="952">
        <f aca="true" t="shared" si="3" ref="N86:N92">J86*K86*L86/M86</f>
        <v>24.999999999999996</v>
      </c>
      <c r="O86" s="1234" t="s">
        <v>614</v>
      </c>
      <c r="P86" s="942">
        <v>1</v>
      </c>
      <c r="Q86" s="942">
        <v>1</v>
      </c>
      <c r="R86" s="949">
        <f>R70</f>
        <v>374.08081134749614</v>
      </c>
      <c r="S86" s="942">
        <f>S77</f>
        <v>1.26</v>
      </c>
      <c r="T86" s="949">
        <f>P86*Q86*R86/1.26</f>
        <v>296.8895328154731</v>
      </c>
      <c r="U86" s="942"/>
      <c r="V86" s="952"/>
    </row>
    <row r="87" spans="1:22" ht="12.75">
      <c r="A87" s="1234"/>
      <c r="B87" s="1235"/>
      <c r="C87" s="1236"/>
      <c r="D87" s="1234" t="s">
        <v>1143</v>
      </c>
      <c r="E87" s="943" t="s">
        <v>25</v>
      </c>
      <c r="F87" s="942">
        <v>0.75</v>
      </c>
      <c r="G87" s="949">
        <f>G79</f>
        <v>160</v>
      </c>
      <c r="H87" s="952">
        <f>F87*G87</f>
        <v>120</v>
      </c>
      <c r="I87" s="1234" t="s">
        <v>271</v>
      </c>
      <c r="J87" s="942">
        <v>1</v>
      </c>
      <c r="K87" s="949">
        <v>1</v>
      </c>
      <c r="L87" s="949">
        <f t="shared" si="2"/>
        <v>8.75</v>
      </c>
      <c r="M87" s="949">
        <v>1.26</v>
      </c>
      <c r="N87" s="952">
        <f t="shared" si="3"/>
        <v>6.944444444444445</v>
      </c>
      <c r="O87" s="1234" t="s">
        <v>1261</v>
      </c>
      <c r="P87" s="955">
        <v>1</v>
      </c>
      <c r="Q87" s="955">
        <v>1</v>
      </c>
      <c r="R87" s="949">
        <f>R79</f>
        <v>13.487791303925002</v>
      </c>
      <c r="S87" s="942">
        <f>S77</f>
        <v>1.26</v>
      </c>
      <c r="T87" s="949">
        <f>P87*Q87*R87/1.26</f>
        <v>10.704596272956351</v>
      </c>
      <c r="U87" s="942"/>
      <c r="V87" s="952"/>
    </row>
    <row r="88" spans="1:22" ht="12.75">
      <c r="A88" s="1234"/>
      <c r="B88" s="1235"/>
      <c r="C88" s="1236"/>
      <c r="D88" s="1234" t="s">
        <v>616</v>
      </c>
      <c r="E88" s="1257">
        <v>0.05</v>
      </c>
      <c r="F88" s="942"/>
      <c r="G88" s="1258"/>
      <c r="H88" s="952">
        <f>H85*0.05</f>
        <v>40.86260869565218</v>
      </c>
      <c r="I88" s="1234" t="s">
        <v>1145</v>
      </c>
      <c r="J88" s="942">
        <v>18</v>
      </c>
      <c r="K88" s="949">
        <v>1</v>
      </c>
      <c r="L88" s="1238">
        <f t="shared" si="2"/>
        <v>8.75</v>
      </c>
      <c r="M88" s="942">
        <v>1.26</v>
      </c>
      <c r="N88" s="952">
        <f t="shared" si="3"/>
        <v>125</v>
      </c>
      <c r="O88" s="1234"/>
      <c r="P88" s="942"/>
      <c r="Q88" s="942"/>
      <c r="R88" s="942"/>
      <c r="S88" s="942"/>
      <c r="T88" s="942"/>
      <c r="U88" s="942"/>
      <c r="V88" s="952"/>
    </row>
    <row r="89" spans="1:22" ht="12.75">
      <c r="A89" s="1234"/>
      <c r="B89" s="1235"/>
      <c r="C89" s="1236"/>
      <c r="D89" s="1234" t="s">
        <v>618</v>
      </c>
      <c r="E89" s="1257">
        <v>0.01</v>
      </c>
      <c r="F89" s="942"/>
      <c r="G89" s="942"/>
      <c r="H89" s="952">
        <f>H86*0.01</f>
        <v>1.5625</v>
      </c>
      <c r="I89" s="1234" t="s">
        <v>619</v>
      </c>
      <c r="J89" s="942">
        <v>1</v>
      </c>
      <c r="K89" s="949">
        <v>1</v>
      </c>
      <c r="L89" s="1238">
        <f t="shared" si="2"/>
        <v>15.399999999999999</v>
      </c>
      <c r="M89" s="942">
        <v>1.26</v>
      </c>
      <c r="N89" s="952">
        <f t="shared" si="3"/>
        <v>12.222222222222221</v>
      </c>
      <c r="O89" s="1234"/>
      <c r="P89" s="942"/>
      <c r="Q89" s="942"/>
      <c r="R89" s="942"/>
      <c r="S89" s="942"/>
      <c r="T89" s="942"/>
      <c r="U89" s="942"/>
      <c r="V89" s="952"/>
    </row>
    <row r="90" spans="1:22" ht="12.75">
      <c r="A90" s="1234"/>
      <c r="B90" s="1235"/>
      <c r="C90" s="1236"/>
      <c r="D90" s="1234"/>
      <c r="E90" s="1257"/>
      <c r="F90" s="942"/>
      <c r="G90" s="942"/>
      <c r="H90" s="952"/>
      <c r="I90" s="1234" t="s">
        <v>1146</v>
      </c>
      <c r="J90" s="942">
        <v>1</v>
      </c>
      <c r="K90" s="949">
        <v>1</v>
      </c>
      <c r="L90" s="1238">
        <f t="shared" si="2"/>
        <v>15.399999999999999</v>
      </c>
      <c r="M90" s="942">
        <v>1.26</v>
      </c>
      <c r="N90" s="952">
        <f t="shared" si="3"/>
        <v>12.222222222222221</v>
      </c>
      <c r="O90" s="1234"/>
      <c r="P90" s="942"/>
      <c r="Q90" s="942"/>
      <c r="R90" s="942"/>
      <c r="S90" s="942"/>
      <c r="T90" s="942"/>
      <c r="U90" s="942"/>
      <c r="V90" s="952"/>
    </row>
    <row r="91" spans="1:22" ht="12.75">
      <c r="A91" s="1234"/>
      <c r="B91" s="1235"/>
      <c r="C91" s="1236"/>
      <c r="D91" s="1234"/>
      <c r="E91" s="943"/>
      <c r="F91" s="942"/>
      <c r="G91" s="942"/>
      <c r="H91" s="1237"/>
      <c r="I91" s="1234" t="s">
        <v>1148</v>
      </c>
      <c r="J91" s="942">
        <v>1</v>
      </c>
      <c r="K91" s="949">
        <v>1</v>
      </c>
      <c r="L91" s="1238">
        <f>'Labour Cost'!F15</f>
        <v>6.5625</v>
      </c>
      <c r="M91" s="942">
        <v>1.26</v>
      </c>
      <c r="N91" s="952">
        <f t="shared" si="3"/>
        <v>5.208333333333333</v>
      </c>
      <c r="O91" s="1234"/>
      <c r="P91" s="942"/>
      <c r="Q91" s="942"/>
      <c r="R91" s="942"/>
      <c r="S91" s="942"/>
      <c r="T91" s="942"/>
      <c r="U91" s="942"/>
      <c r="V91" s="952"/>
    </row>
    <row r="92" spans="1:22" ht="12.75">
      <c r="A92" s="1234"/>
      <c r="B92" s="1235"/>
      <c r="C92" s="1236"/>
      <c r="D92" s="1234"/>
      <c r="E92" s="943"/>
      <c r="F92" s="942"/>
      <c r="G92" s="942"/>
      <c r="H92" s="1237"/>
      <c r="I92" s="1234" t="s">
        <v>1149</v>
      </c>
      <c r="J92" s="942">
        <v>1</v>
      </c>
      <c r="K92" s="949">
        <v>1</v>
      </c>
      <c r="L92" s="1238">
        <f>'Labour Cost'!F10</f>
        <v>31.499999999999996</v>
      </c>
      <c r="M92" s="942">
        <v>1.26</v>
      </c>
      <c r="N92" s="952">
        <f t="shared" si="3"/>
        <v>24.999999999999996</v>
      </c>
      <c r="O92" s="1234"/>
      <c r="P92" s="942"/>
      <c r="Q92" s="942"/>
      <c r="R92" s="942"/>
      <c r="S92" s="942"/>
      <c r="T92" s="942"/>
      <c r="U92" s="942"/>
      <c r="V92" s="952"/>
    </row>
    <row r="93" spans="1:22" ht="12.75">
      <c r="A93" s="1240"/>
      <c r="B93" s="1249"/>
      <c r="C93" s="1242"/>
      <c r="D93" s="1240"/>
      <c r="E93" s="1243"/>
      <c r="F93" s="1241"/>
      <c r="G93" s="1241"/>
      <c r="H93" s="1247">
        <f>SUM(H85:H92)</f>
        <v>1135.9272826086956</v>
      </c>
      <c r="I93" s="1240"/>
      <c r="J93" s="1241"/>
      <c r="K93" s="1245"/>
      <c r="L93" s="1241"/>
      <c r="M93" s="1241"/>
      <c r="N93" s="1247">
        <f>SUM(N85:N92)</f>
        <v>214.90097234940987</v>
      </c>
      <c r="O93" s="1240"/>
      <c r="P93" s="1241"/>
      <c r="Q93" s="1241"/>
      <c r="R93" s="1241"/>
      <c r="S93" s="1241"/>
      <c r="T93" s="1245">
        <f>SUM(T85:T92)</f>
        <v>311.40365289795324</v>
      </c>
      <c r="U93" s="1245">
        <f>T93+N93+H93</f>
        <v>1662.2319078560586</v>
      </c>
      <c r="V93" s="1247">
        <f>U93*$U$4</f>
        <v>2241.2613337938187</v>
      </c>
    </row>
    <row r="94" spans="1:22" ht="12.75">
      <c r="A94" s="1234">
        <v>15</v>
      </c>
      <c r="B94" s="1235" t="s">
        <v>1150</v>
      </c>
      <c r="C94" s="1236" t="s">
        <v>25</v>
      </c>
      <c r="D94" s="1234" t="s">
        <v>1151</v>
      </c>
      <c r="E94" s="943" t="s">
        <v>3095</v>
      </c>
      <c r="F94" s="949">
        <v>3.6</v>
      </c>
      <c r="G94" s="949">
        <f>G77</f>
        <v>255.3913043478261</v>
      </c>
      <c r="H94" s="952">
        <f>F94*G94</f>
        <v>919.408695652174</v>
      </c>
      <c r="I94" s="1234" t="s">
        <v>275</v>
      </c>
      <c r="J94" s="942">
        <v>1</v>
      </c>
      <c r="K94" s="949">
        <v>0.2</v>
      </c>
      <c r="L94" s="1238">
        <f aca="true" t="shared" si="4" ref="L94:L101">L85</f>
        <v>20.81362580128205</v>
      </c>
      <c r="M94" s="942">
        <v>1.26</v>
      </c>
      <c r="N94" s="1253">
        <f aca="true" t="shared" si="5" ref="N94:N101">J94*K94*L94/M94</f>
        <v>3.303750127187627</v>
      </c>
      <c r="O94" s="1234" t="s">
        <v>277</v>
      </c>
      <c r="P94" s="942">
        <v>20</v>
      </c>
      <c r="Q94" s="942">
        <v>1</v>
      </c>
      <c r="R94" s="942">
        <f>R10</f>
        <v>0.32</v>
      </c>
      <c r="S94" s="942">
        <v>1.26</v>
      </c>
      <c r="T94" s="949">
        <f>P94*Q94*R94/1.26</f>
        <v>5.07936507936508</v>
      </c>
      <c r="U94" s="942"/>
      <c r="V94" s="952"/>
    </row>
    <row r="95" spans="1:22" ht="12.75">
      <c r="A95" s="1234"/>
      <c r="B95" s="1235"/>
      <c r="C95" s="1236"/>
      <c r="D95" s="1234" t="s">
        <v>622</v>
      </c>
      <c r="E95" s="943" t="s">
        <v>484</v>
      </c>
      <c r="F95" s="942">
        <v>0.46</v>
      </c>
      <c r="G95" s="949">
        <v>160</v>
      </c>
      <c r="H95" s="952">
        <f>F95*G95</f>
        <v>73.60000000000001</v>
      </c>
      <c r="I95" s="1234" t="s">
        <v>1152</v>
      </c>
      <c r="J95" s="942">
        <v>1</v>
      </c>
      <c r="K95" s="949">
        <v>1</v>
      </c>
      <c r="L95" s="1238">
        <f t="shared" si="4"/>
        <v>31.499999999999996</v>
      </c>
      <c r="M95" s="942">
        <v>1.26</v>
      </c>
      <c r="N95" s="1253">
        <f t="shared" si="5"/>
        <v>24.999999999999996</v>
      </c>
      <c r="O95" s="1234" t="s">
        <v>614</v>
      </c>
      <c r="P95" s="942">
        <v>1</v>
      </c>
      <c r="Q95" s="942">
        <v>1</v>
      </c>
      <c r="R95" s="949">
        <f>R86</f>
        <v>374.08081134749614</v>
      </c>
      <c r="S95" s="942">
        <v>1.26</v>
      </c>
      <c r="T95" s="949">
        <f>P95*Q95*R95/1.26</f>
        <v>296.8895328154731</v>
      </c>
      <c r="U95" s="942"/>
      <c r="V95" s="952"/>
    </row>
    <row r="96" spans="1:22" ht="12.75">
      <c r="A96" s="1234"/>
      <c r="B96" s="1235"/>
      <c r="C96" s="1236"/>
      <c r="D96" s="1234" t="s">
        <v>615</v>
      </c>
      <c r="E96" s="943" t="s">
        <v>484</v>
      </c>
      <c r="F96" s="949">
        <v>0.9</v>
      </c>
      <c r="G96" s="949">
        <v>180</v>
      </c>
      <c r="H96" s="952">
        <f>F96*G96</f>
        <v>162</v>
      </c>
      <c r="I96" s="1234" t="s">
        <v>271</v>
      </c>
      <c r="J96" s="942">
        <v>1</v>
      </c>
      <c r="K96" s="949">
        <v>1</v>
      </c>
      <c r="L96" s="949">
        <f t="shared" si="4"/>
        <v>8.75</v>
      </c>
      <c r="M96" s="949">
        <v>1.26</v>
      </c>
      <c r="N96" s="1253">
        <f t="shared" si="5"/>
        <v>6.944444444444445</v>
      </c>
      <c r="O96" s="1234" t="s">
        <v>1144</v>
      </c>
      <c r="P96" s="955">
        <v>1</v>
      </c>
      <c r="Q96" s="955">
        <v>1</v>
      </c>
      <c r="R96" s="949">
        <f>R87</f>
        <v>13.487791303925002</v>
      </c>
      <c r="S96" s="942">
        <v>1.26</v>
      </c>
      <c r="T96" s="949">
        <f>P96*Q96*R96/1.26</f>
        <v>10.704596272956351</v>
      </c>
      <c r="U96" s="942"/>
      <c r="V96" s="952"/>
    </row>
    <row r="97" spans="1:22" ht="12.75">
      <c r="A97" s="1234"/>
      <c r="B97" s="1235"/>
      <c r="C97" s="1236"/>
      <c r="D97" s="1234" t="s">
        <v>616</v>
      </c>
      <c r="E97" s="1257">
        <v>0.05</v>
      </c>
      <c r="F97" s="942"/>
      <c r="G97" s="942"/>
      <c r="H97" s="1237">
        <f>H94*0.05</f>
        <v>45.9704347826087</v>
      </c>
      <c r="I97" s="1234" t="s">
        <v>617</v>
      </c>
      <c r="J97" s="942">
        <v>20</v>
      </c>
      <c r="K97" s="949">
        <v>1</v>
      </c>
      <c r="L97" s="1238">
        <f t="shared" si="4"/>
        <v>8.75</v>
      </c>
      <c r="M97" s="942">
        <v>1.26</v>
      </c>
      <c r="N97" s="1253">
        <f t="shared" si="5"/>
        <v>138.88888888888889</v>
      </c>
      <c r="O97" s="1234"/>
      <c r="P97" s="942"/>
      <c r="Q97" s="942"/>
      <c r="R97" s="942"/>
      <c r="S97" s="942"/>
      <c r="T97" s="942"/>
      <c r="U97" s="942"/>
      <c r="V97" s="952"/>
    </row>
    <row r="98" spans="1:22" ht="12.75">
      <c r="A98" s="1234"/>
      <c r="B98" s="1235"/>
      <c r="C98" s="1236"/>
      <c r="D98" s="1234" t="s">
        <v>618</v>
      </c>
      <c r="E98" s="1257">
        <v>0.01</v>
      </c>
      <c r="F98" s="942"/>
      <c r="G98" s="942"/>
      <c r="H98" s="952">
        <f>H95*0.01</f>
        <v>0.7360000000000001</v>
      </c>
      <c r="I98" s="1234" t="s">
        <v>619</v>
      </c>
      <c r="J98" s="942">
        <v>1</v>
      </c>
      <c r="K98" s="949">
        <v>1</v>
      </c>
      <c r="L98" s="1238">
        <f t="shared" si="4"/>
        <v>15.399999999999999</v>
      </c>
      <c r="M98" s="942">
        <v>1.26</v>
      </c>
      <c r="N98" s="1253">
        <f t="shared" si="5"/>
        <v>12.222222222222221</v>
      </c>
      <c r="O98" s="1234"/>
      <c r="P98" s="942"/>
      <c r="Q98" s="942"/>
      <c r="R98" s="942"/>
      <c r="S98" s="942"/>
      <c r="T98" s="942"/>
      <c r="U98" s="942"/>
      <c r="V98" s="952"/>
    </row>
    <row r="99" spans="1:22" ht="12.75">
      <c r="A99" s="1234"/>
      <c r="B99" s="1235"/>
      <c r="C99" s="1236"/>
      <c r="D99" s="1234"/>
      <c r="E99" s="943"/>
      <c r="F99" s="942"/>
      <c r="G99" s="942"/>
      <c r="H99" s="1237"/>
      <c r="I99" s="1234" t="s">
        <v>1153</v>
      </c>
      <c r="J99" s="942">
        <v>1</v>
      </c>
      <c r="K99" s="949">
        <v>1</v>
      </c>
      <c r="L99" s="1238">
        <f t="shared" si="4"/>
        <v>15.399999999999999</v>
      </c>
      <c r="M99" s="942">
        <v>1.26</v>
      </c>
      <c r="N99" s="1253">
        <f t="shared" si="5"/>
        <v>12.222222222222221</v>
      </c>
      <c r="O99" s="1234"/>
      <c r="P99" s="942"/>
      <c r="Q99" s="942"/>
      <c r="R99" s="942"/>
      <c r="S99" s="942"/>
      <c r="T99" s="942"/>
      <c r="U99" s="942"/>
      <c r="V99" s="952"/>
    </row>
    <row r="100" spans="1:22" ht="12.75">
      <c r="A100" s="1234"/>
      <c r="B100" s="1235"/>
      <c r="C100" s="1236"/>
      <c r="D100" s="1234"/>
      <c r="E100" s="943"/>
      <c r="F100" s="942"/>
      <c r="G100" s="942"/>
      <c r="H100" s="1237"/>
      <c r="I100" s="1234" t="s">
        <v>1154</v>
      </c>
      <c r="J100" s="942">
        <v>1</v>
      </c>
      <c r="K100" s="949">
        <v>1</v>
      </c>
      <c r="L100" s="1238">
        <f t="shared" si="4"/>
        <v>6.5625</v>
      </c>
      <c r="M100" s="942">
        <v>1.26</v>
      </c>
      <c r="N100" s="1253">
        <f t="shared" si="5"/>
        <v>5.208333333333333</v>
      </c>
      <c r="O100" s="1234"/>
      <c r="P100" s="942"/>
      <c r="Q100" s="942"/>
      <c r="R100" s="942"/>
      <c r="S100" s="942"/>
      <c r="T100" s="942"/>
      <c r="U100" s="942"/>
      <c r="V100" s="952"/>
    </row>
    <row r="101" spans="1:22" ht="12.75">
      <c r="A101" s="1234"/>
      <c r="B101" s="1235"/>
      <c r="C101" s="1236"/>
      <c r="D101" s="1234"/>
      <c r="E101" s="943"/>
      <c r="F101" s="942"/>
      <c r="G101" s="942"/>
      <c r="H101" s="1237"/>
      <c r="I101" s="1234" t="s">
        <v>1155</v>
      </c>
      <c r="J101" s="942">
        <v>1</v>
      </c>
      <c r="K101" s="949">
        <v>1</v>
      </c>
      <c r="L101" s="1238">
        <f t="shared" si="4"/>
        <v>31.499999999999996</v>
      </c>
      <c r="M101" s="942">
        <v>1.26</v>
      </c>
      <c r="N101" s="1253">
        <f t="shared" si="5"/>
        <v>24.999999999999996</v>
      </c>
      <c r="O101" s="1234"/>
      <c r="P101" s="942"/>
      <c r="Q101" s="942"/>
      <c r="R101" s="942"/>
      <c r="S101" s="942"/>
      <c r="T101" s="942"/>
      <c r="U101" s="942"/>
      <c r="V101" s="952"/>
    </row>
    <row r="102" spans="1:22" ht="12.75">
      <c r="A102" s="1240"/>
      <c r="B102" s="1249"/>
      <c r="C102" s="1242"/>
      <c r="D102" s="1240"/>
      <c r="E102" s="1243"/>
      <c r="F102" s="1241"/>
      <c r="G102" s="1241"/>
      <c r="H102" s="1247">
        <f>SUM(H94:H101)</f>
        <v>1201.7151304347828</v>
      </c>
      <c r="I102" s="1240"/>
      <c r="J102" s="1241"/>
      <c r="K102" s="1245"/>
      <c r="L102" s="1241"/>
      <c r="M102" s="1241"/>
      <c r="N102" s="1247">
        <f>SUM(N94:N101)</f>
        <v>228.78986123829876</v>
      </c>
      <c r="O102" s="1240"/>
      <c r="P102" s="1241"/>
      <c r="Q102" s="1241"/>
      <c r="R102" s="1241"/>
      <c r="S102" s="1241"/>
      <c r="T102" s="1245">
        <f>SUM(T94:T101)</f>
        <v>312.6734941677945</v>
      </c>
      <c r="U102" s="1245">
        <f>T102+N102+H102</f>
        <v>1743.178485840876</v>
      </c>
      <c r="V102" s="1247">
        <f>U102*$U$4</f>
        <v>2350.4052110607972</v>
      </c>
    </row>
    <row r="103" spans="1:22" ht="12.75">
      <c r="A103" s="1234"/>
      <c r="B103" s="1235"/>
      <c r="C103" s="1236"/>
      <c r="D103" s="1234"/>
      <c r="E103" s="943"/>
      <c r="F103" s="942"/>
      <c r="G103" s="942"/>
      <c r="H103" s="1237"/>
      <c r="I103" s="1234"/>
      <c r="J103" s="942"/>
      <c r="K103" s="949"/>
      <c r="L103" s="942"/>
      <c r="M103" s="942"/>
      <c r="N103" s="1237"/>
      <c r="O103" s="1234"/>
      <c r="P103" s="942"/>
      <c r="Q103" s="942"/>
      <c r="R103" s="942"/>
      <c r="S103" s="942"/>
      <c r="T103" s="942"/>
      <c r="U103" s="942"/>
      <c r="V103" s="952"/>
    </row>
    <row r="104" spans="1:22" ht="12.75">
      <c r="A104" s="1234">
        <v>16</v>
      </c>
      <c r="B104" s="1235" t="s">
        <v>1156</v>
      </c>
      <c r="C104" s="1236" t="s">
        <v>25</v>
      </c>
      <c r="D104" s="1234" t="s">
        <v>1151</v>
      </c>
      <c r="E104" s="943" t="s">
        <v>3095</v>
      </c>
      <c r="F104" s="949">
        <v>4</v>
      </c>
      <c r="G104" s="949">
        <f>G94</f>
        <v>255.3913043478261</v>
      </c>
      <c r="H104" s="952">
        <f>F104*G104</f>
        <v>1021.5652173913044</v>
      </c>
      <c r="I104" s="1234" t="s">
        <v>275</v>
      </c>
      <c r="J104" s="942">
        <v>1</v>
      </c>
      <c r="K104" s="949">
        <v>0.2</v>
      </c>
      <c r="L104" s="1238">
        <f aca="true" t="shared" si="6" ref="L104:L111">L94</f>
        <v>20.81362580128205</v>
      </c>
      <c r="M104" s="942">
        <v>1.26</v>
      </c>
      <c r="N104" s="1253">
        <f aca="true" t="shared" si="7" ref="N104:N111">J104*K104*L104/M104</f>
        <v>3.303750127187627</v>
      </c>
      <c r="O104" s="1234" t="s">
        <v>277</v>
      </c>
      <c r="P104" s="942">
        <v>15</v>
      </c>
      <c r="Q104" s="942">
        <v>1</v>
      </c>
      <c r="R104" s="942">
        <f>R10</f>
        <v>0.32</v>
      </c>
      <c r="S104" s="942">
        <v>1.26</v>
      </c>
      <c r="T104" s="942">
        <f>P104*Q104*R104/1.26</f>
        <v>3.8095238095238093</v>
      </c>
      <c r="U104" s="942"/>
      <c r="V104" s="952"/>
    </row>
    <row r="105" spans="1:22" ht="12.75">
      <c r="A105" s="1234"/>
      <c r="B105" s="1235"/>
      <c r="C105" s="1236"/>
      <c r="D105" s="1234" t="s">
        <v>622</v>
      </c>
      <c r="E105" s="943" t="s">
        <v>484</v>
      </c>
      <c r="F105" s="942">
        <v>0.46</v>
      </c>
      <c r="G105" s="949">
        <f>G95</f>
        <v>160</v>
      </c>
      <c r="H105" s="952">
        <f>F105*G105</f>
        <v>73.60000000000001</v>
      </c>
      <c r="I105" s="1234" t="s">
        <v>1152</v>
      </c>
      <c r="J105" s="942">
        <v>1</v>
      </c>
      <c r="K105" s="949">
        <v>1</v>
      </c>
      <c r="L105" s="1238">
        <f t="shared" si="6"/>
        <v>31.499999999999996</v>
      </c>
      <c r="M105" s="942">
        <v>1.26</v>
      </c>
      <c r="N105" s="1253">
        <f t="shared" si="7"/>
        <v>24.999999999999996</v>
      </c>
      <c r="O105" s="1234" t="s">
        <v>614</v>
      </c>
      <c r="P105" s="942">
        <v>1</v>
      </c>
      <c r="Q105" s="942">
        <v>1</v>
      </c>
      <c r="R105" s="949">
        <f>R95</f>
        <v>374.08081134749614</v>
      </c>
      <c r="S105" s="942">
        <v>1.26</v>
      </c>
      <c r="T105" s="942">
        <f>P105*Q105*R105/1.26</f>
        <v>296.8895328154731</v>
      </c>
      <c r="U105" s="942"/>
      <c r="V105" s="952"/>
    </row>
    <row r="106" spans="1:22" ht="12.75">
      <c r="A106" s="1234"/>
      <c r="B106" s="1235"/>
      <c r="C106" s="1236"/>
      <c r="D106" s="1234" t="s">
        <v>615</v>
      </c>
      <c r="E106" s="943" t="s">
        <v>484</v>
      </c>
      <c r="F106" s="949">
        <v>0.9</v>
      </c>
      <c r="G106" s="949">
        <f>G96</f>
        <v>180</v>
      </c>
      <c r="H106" s="952">
        <f>F106*G106</f>
        <v>162</v>
      </c>
      <c r="I106" s="1234" t="s">
        <v>271</v>
      </c>
      <c r="J106" s="942">
        <v>1</v>
      </c>
      <c r="K106" s="949">
        <v>1</v>
      </c>
      <c r="L106" s="949">
        <f t="shared" si="6"/>
        <v>8.75</v>
      </c>
      <c r="M106" s="949">
        <v>1.26</v>
      </c>
      <c r="N106" s="1253">
        <f t="shared" si="7"/>
        <v>6.944444444444445</v>
      </c>
      <c r="O106" s="1234" t="s">
        <v>1144</v>
      </c>
      <c r="P106" s="955">
        <v>1</v>
      </c>
      <c r="Q106" s="955">
        <v>1</v>
      </c>
      <c r="R106" s="949">
        <f>R96</f>
        <v>13.487791303925002</v>
      </c>
      <c r="S106" s="942">
        <v>1.26</v>
      </c>
      <c r="T106" s="942">
        <f>P106*Q106*R106/1.26</f>
        <v>10.704596272956351</v>
      </c>
      <c r="U106" s="942"/>
      <c r="V106" s="952"/>
    </row>
    <row r="107" spans="1:22" ht="12.75">
      <c r="A107" s="1234"/>
      <c r="B107" s="1235"/>
      <c r="C107" s="1236"/>
      <c r="D107" s="1234" t="s">
        <v>616</v>
      </c>
      <c r="E107" s="1257">
        <v>0.05</v>
      </c>
      <c r="F107" s="942"/>
      <c r="G107" s="942"/>
      <c r="H107" s="1237">
        <f>H104*0.05</f>
        <v>51.07826086956522</v>
      </c>
      <c r="I107" s="1234" t="s">
        <v>617</v>
      </c>
      <c r="J107" s="942">
        <v>25</v>
      </c>
      <c r="K107" s="949">
        <v>1</v>
      </c>
      <c r="L107" s="1238">
        <f t="shared" si="6"/>
        <v>8.75</v>
      </c>
      <c r="M107" s="942">
        <v>1.26</v>
      </c>
      <c r="N107" s="1253">
        <f t="shared" si="7"/>
        <v>173.61111111111111</v>
      </c>
      <c r="O107" s="1234"/>
      <c r="P107" s="942"/>
      <c r="Q107" s="942"/>
      <c r="R107" s="942"/>
      <c r="S107" s="942"/>
      <c r="T107" s="942"/>
      <c r="U107" s="942"/>
      <c r="V107" s="952"/>
    </row>
    <row r="108" spans="1:22" ht="12.75">
      <c r="A108" s="1234"/>
      <c r="B108" s="1235"/>
      <c r="C108" s="1236"/>
      <c r="D108" s="1234" t="s">
        <v>618</v>
      </c>
      <c r="E108" s="1257">
        <v>0.01</v>
      </c>
      <c r="F108" s="942"/>
      <c r="G108" s="942"/>
      <c r="H108" s="952">
        <f>H105*0.01</f>
        <v>0.7360000000000001</v>
      </c>
      <c r="I108" s="1234" t="s">
        <v>619</v>
      </c>
      <c r="J108" s="942">
        <v>1</v>
      </c>
      <c r="K108" s="949">
        <v>1</v>
      </c>
      <c r="L108" s="1238">
        <f t="shared" si="6"/>
        <v>15.399999999999999</v>
      </c>
      <c r="M108" s="942">
        <v>1.26</v>
      </c>
      <c r="N108" s="1253">
        <f t="shared" si="7"/>
        <v>12.222222222222221</v>
      </c>
      <c r="O108" s="1234"/>
      <c r="P108" s="942"/>
      <c r="Q108" s="942"/>
      <c r="R108" s="942"/>
      <c r="S108" s="942"/>
      <c r="T108" s="942"/>
      <c r="U108" s="942"/>
      <c r="V108" s="952"/>
    </row>
    <row r="109" spans="1:22" ht="12.75">
      <c r="A109" s="1234"/>
      <c r="B109" s="1235"/>
      <c r="C109" s="1236"/>
      <c r="D109" s="1234"/>
      <c r="E109" s="943"/>
      <c r="F109" s="942"/>
      <c r="G109" s="942"/>
      <c r="H109" s="1237"/>
      <c r="I109" s="1234" t="s">
        <v>1153</v>
      </c>
      <c r="J109" s="942">
        <v>1</v>
      </c>
      <c r="K109" s="949">
        <v>1</v>
      </c>
      <c r="L109" s="1238">
        <f t="shared" si="6"/>
        <v>15.399999999999999</v>
      </c>
      <c r="M109" s="942">
        <v>1.26</v>
      </c>
      <c r="N109" s="1253">
        <f t="shared" si="7"/>
        <v>12.222222222222221</v>
      </c>
      <c r="O109" s="1234"/>
      <c r="P109" s="942"/>
      <c r="Q109" s="942"/>
      <c r="R109" s="942"/>
      <c r="S109" s="942"/>
      <c r="T109" s="942"/>
      <c r="U109" s="942"/>
      <c r="V109" s="952"/>
    </row>
    <row r="110" spans="1:22" ht="12.75">
      <c r="A110" s="1234"/>
      <c r="B110" s="1235"/>
      <c r="C110" s="1236"/>
      <c r="D110" s="1234"/>
      <c r="E110" s="943"/>
      <c r="F110" s="942"/>
      <c r="G110" s="942"/>
      <c r="H110" s="1237"/>
      <c r="I110" s="1234" t="s">
        <v>1154</v>
      </c>
      <c r="J110" s="942">
        <v>1</v>
      </c>
      <c r="K110" s="949">
        <v>1</v>
      </c>
      <c r="L110" s="1238">
        <f t="shared" si="6"/>
        <v>6.5625</v>
      </c>
      <c r="M110" s="942">
        <v>1.26</v>
      </c>
      <c r="N110" s="1253">
        <f t="shared" si="7"/>
        <v>5.208333333333333</v>
      </c>
      <c r="O110" s="1234"/>
      <c r="P110" s="942"/>
      <c r="Q110" s="942"/>
      <c r="R110" s="942"/>
      <c r="S110" s="942"/>
      <c r="T110" s="942"/>
      <c r="U110" s="942"/>
      <c r="V110" s="952"/>
    </row>
    <row r="111" spans="1:22" ht="12.75">
      <c r="A111" s="1234"/>
      <c r="B111" s="1235"/>
      <c r="C111" s="1236"/>
      <c r="D111" s="1234"/>
      <c r="E111" s="943"/>
      <c r="F111" s="942"/>
      <c r="G111" s="942"/>
      <c r="H111" s="1237"/>
      <c r="I111" s="1234" t="s">
        <v>1155</v>
      </c>
      <c r="J111" s="942">
        <v>1</v>
      </c>
      <c r="K111" s="949">
        <v>1</v>
      </c>
      <c r="L111" s="1238">
        <f t="shared" si="6"/>
        <v>31.499999999999996</v>
      </c>
      <c r="M111" s="942">
        <v>1.26</v>
      </c>
      <c r="N111" s="1253">
        <f t="shared" si="7"/>
        <v>24.999999999999996</v>
      </c>
      <c r="O111" s="1234"/>
      <c r="P111" s="942"/>
      <c r="Q111" s="942"/>
      <c r="R111" s="942"/>
      <c r="S111" s="942"/>
      <c r="T111" s="942"/>
      <c r="U111" s="942"/>
      <c r="V111" s="952"/>
    </row>
    <row r="112" spans="1:22" ht="12.75">
      <c r="A112" s="1240"/>
      <c r="B112" s="1249"/>
      <c r="C112" s="1242"/>
      <c r="D112" s="1240"/>
      <c r="E112" s="1243"/>
      <c r="F112" s="1241"/>
      <c r="G112" s="1241"/>
      <c r="H112" s="1247">
        <f>SUM(H104:H111)</f>
        <v>1308.9794782608697</v>
      </c>
      <c r="I112" s="1240"/>
      <c r="J112" s="1241"/>
      <c r="K112" s="1245"/>
      <c r="L112" s="1241"/>
      <c r="M112" s="1241"/>
      <c r="N112" s="1247">
        <f>SUM(N104:N111)</f>
        <v>263.51208346052096</v>
      </c>
      <c r="O112" s="1240"/>
      <c r="P112" s="1241"/>
      <c r="Q112" s="1241"/>
      <c r="R112" s="1241"/>
      <c r="S112" s="1241"/>
      <c r="T112" s="1245">
        <f>SUM(T104:T111)</f>
        <v>311.40365289795324</v>
      </c>
      <c r="U112" s="1245">
        <f>T112+N112+H112</f>
        <v>1883.8952146193437</v>
      </c>
      <c r="V112" s="1247">
        <f>U112*$U$4</f>
        <v>2540.1398454030723</v>
      </c>
    </row>
    <row r="113" spans="1:22" ht="12.75">
      <c r="A113" s="1234"/>
      <c r="B113" s="1235"/>
      <c r="C113" s="1236"/>
      <c r="D113" s="1234"/>
      <c r="E113" s="943"/>
      <c r="F113" s="942"/>
      <c r="G113" s="942"/>
      <c r="H113" s="1237"/>
      <c r="I113" s="1234"/>
      <c r="J113" s="942"/>
      <c r="K113" s="949"/>
      <c r="L113" s="942"/>
      <c r="M113" s="942"/>
      <c r="N113" s="1237"/>
      <c r="O113" s="1234"/>
      <c r="P113" s="942"/>
      <c r="Q113" s="942"/>
      <c r="R113" s="942"/>
      <c r="S113" s="942"/>
      <c r="T113" s="942"/>
      <c r="U113" s="942"/>
      <c r="V113" s="952"/>
    </row>
    <row r="114" spans="1:22" ht="12.75">
      <c r="A114" s="1234">
        <v>17</v>
      </c>
      <c r="B114" s="1235" t="s">
        <v>1157</v>
      </c>
      <c r="C114" s="1236" t="s">
        <v>24</v>
      </c>
      <c r="D114" s="1234" t="s">
        <v>57</v>
      </c>
      <c r="E114" s="943" t="s">
        <v>25</v>
      </c>
      <c r="F114" s="942">
        <v>0.005</v>
      </c>
      <c r="G114" s="949">
        <f>'Material price'!D100</f>
        <v>6666.666666666667</v>
      </c>
      <c r="H114" s="952">
        <f>F114*G114</f>
        <v>33.333333333333336</v>
      </c>
      <c r="I114" s="1234" t="s">
        <v>275</v>
      </c>
      <c r="J114" s="942">
        <v>1</v>
      </c>
      <c r="K114" s="949">
        <v>0.2</v>
      </c>
      <c r="L114" s="1238">
        <f>'[1]Labour Cost'!E3</f>
        <v>8.875</v>
      </c>
      <c r="M114" s="942">
        <f>S114</f>
        <v>0.5</v>
      </c>
      <c r="N114" s="952">
        <f>J114*K114*L114/M114</f>
        <v>3.5500000000000003</v>
      </c>
      <c r="O114" s="1234" t="s">
        <v>277</v>
      </c>
      <c r="P114" s="942">
        <v>2</v>
      </c>
      <c r="Q114" s="942">
        <v>1</v>
      </c>
      <c r="R114" s="942">
        <f>R10</f>
        <v>0.32</v>
      </c>
      <c r="S114" s="942">
        <f>'[3]Ambo'!$L$713</f>
        <v>0.5</v>
      </c>
      <c r="T114" s="942">
        <v>0.533</v>
      </c>
      <c r="U114" s="942"/>
      <c r="V114" s="952"/>
    </row>
    <row r="115" spans="1:22" ht="12.75">
      <c r="A115" s="1234"/>
      <c r="B115" s="1235"/>
      <c r="C115" s="1236"/>
      <c r="D115" s="1234" t="s">
        <v>58</v>
      </c>
      <c r="E115" s="943" t="s">
        <v>149</v>
      </c>
      <c r="F115" s="949">
        <v>1</v>
      </c>
      <c r="G115" s="949">
        <f>'Material price'!D28</f>
        <v>15.66</v>
      </c>
      <c r="H115" s="952">
        <f>F115*G115</f>
        <v>15.66</v>
      </c>
      <c r="I115" s="1234" t="s">
        <v>1158</v>
      </c>
      <c r="J115" s="942">
        <v>1</v>
      </c>
      <c r="K115" s="949">
        <v>1</v>
      </c>
      <c r="L115" s="949">
        <f>'Labour Cost'!F10</f>
        <v>31.499999999999996</v>
      </c>
      <c r="M115" s="1258">
        <f>M114</f>
        <v>0.5</v>
      </c>
      <c r="N115" s="952">
        <f>J115*K115*L115/M115</f>
        <v>62.99999999999999</v>
      </c>
      <c r="O115" s="1234"/>
      <c r="P115" s="942"/>
      <c r="Q115" s="942"/>
      <c r="R115" s="942"/>
      <c r="S115" s="942"/>
      <c r="T115" s="942"/>
      <c r="U115" s="942"/>
      <c r="V115" s="952"/>
    </row>
    <row r="116" spans="1:22" ht="12.75">
      <c r="A116" s="1234"/>
      <c r="B116" s="1235"/>
      <c r="C116" s="1236"/>
      <c r="D116" s="1234" t="s">
        <v>1159</v>
      </c>
      <c r="E116" s="943" t="s">
        <v>86</v>
      </c>
      <c r="F116" s="942">
        <v>0.75</v>
      </c>
      <c r="G116" s="949">
        <f>'Material price'!D28</f>
        <v>15.66</v>
      </c>
      <c r="H116" s="952">
        <f>F116*G116</f>
        <v>11.745000000000001</v>
      </c>
      <c r="I116" s="1234" t="s">
        <v>1149</v>
      </c>
      <c r="J116" s="942">
        <v>1</v>
      </c>
      <c r="K116" s="949">
        <v>1</v>
      </c>
      <c r="L116" s="1238">
        <f>'Labour Cost'!F11</f>
        <v>26.25</v>
      </c>
      <c r="M116" s="942">
        <f>M114</f>
        <v>0.5</v>
      </c>
      <c r="N116" s="952">
        <f>J116*K116*L116/M116</f>
        <v>52.5</v>
      </c>
      <c r="O116" s="1234"/>
      <c r="P116" s="942"/>
      <c r="Q116" s="942"/>
      <c r="R116" s="942"/>
      <c r="S116" s="942"/>
      <c r="T116" s="942"/>
      <c r="U116" s="942"/>
      <c r="V116" s="952"/>
    </row>
    <row r="117" spans="1:22" ht="12.75">
      <c r="A117" s="1234"/>
      <c r="B117" s="1235"/>
      <c r="C117" s="1236"/>
      <c r="D117" s="1234"/>
      <c r="E117" s="943"/>
      <c r="F117" s="942"/>
      <c r="G117" s="949"/>
      <c r="H117" s="1237"/>
      <c r="I117" s="1234" t="s">
        <v>1160</v>
      </c>
      <c r="J117" s="942">
        <v>2</v>
      </c>
      <c r="K117" s="949">
        <v>1</v>
      </c>
      <c r="L117" s="1238">
        <f>'Labour Cost'!F21</f>
        <v>8.75</v>
      </c>
      <c r="M117" s="942">
        <f>M114</f>
        <v>0.5</v>
      </c>
      <c r="N117" s="952">
        <f>J117*K117*L117/M117</f>
        <v>35</v>
      </c>
      <c r="O117" s="1234"/>
      <c r="P117" s="942"/>
      <c r="Q117" s="942"/>
      <c r="R117" s="942"/>
      <c r="S117" s="942"/>
      <c r="T117" s="942"/>
      <c r="U117" s="942"/>
      <c r="V117" s="952"/>
    </row>
    <row r="118" spans="1:22" ht="12.75">
      <c r="A118" s="1240"/>
      <c r="B118" s="1249"/>
      <c r="C118" s="1242"/>
      <c r="D118" s="1240"/>
      <c r="E118" s="1243"/>
      <c r="F118" s="1241"/>
      <c r="G118" s="1241"/>
      <c r="H118" s="1247">
        <f>SUM(H114:H117)</f>
        <v>60.738333333333344</v>
      </c>
      <c r="I118" s="1240"/>
      <c r="J118" s="1241"/>
      <c r="K118" s="1245"/>
      <c r="L118" s="1241"/>
      <c r="M118" s="1241"/>
      <c r="N118" s="1247">
        <f>SUM(N114:N117)</f>
        <v>154.05</v>
      </c>
      <c r="O118" s="1240"/>
      <c r="P118" s="1241"/>
      <c r="Q118" s="1241"/>
      <c r="R118" s="1241"/>
      <c r="S118" s="1241"/>
      <c r="T118" s="1241">
        <v>0.533</v>
      </c>
      <c r="U118" s="1245">
        <f>T118+N118+H118</f>
        <v>215.32133333333334</v>
      </c>
      <c r="V118" s="1247">
        <f>U118*$U$4</f>
        <v>290.32734629873335</v>
      </c>
    </row>
    <row r="119" spans="1:22" ht="12.75">
      <c r="A119" s="1234"/>
      <c r="B119" s="1235"/>
      <c r="C119" s="1236"/>
      <c r="D119" s="1234"/>
      <c r="E119" s="943"/>
      <c r="F119" s="942"/>
      <c r="G119" s="942"/>
      <c r="H119" s="1237"/>
      <c r="I119" s="1234"/>
      <c r="J119" s="942"/>
      <c r="K119" s="949"/>
      <c r="L119" s="942"/>
      <c r="M119" s="942"/>
      <c r="N119" s="1237"/>
      <c r="O119" s="1234"/>
      <c r="P119" s="942"/>
      <c r="Q119" s="942"/>
      <c r="R119" s="942"/>
      <c r="S119" s="942"/>
      <c r="T119" s="942"/>
      <c r="U119" s="942"/>
      <c r="V119" s="952"/>
    </row>
    <row r="120" spans="1:22" ht="12.75">
      <c r="A120" s="1234">
        <v>18</v>
      </c>
      <c r="B120" s="1235" t="s">
        <v>1418</v>
      </c>
      <c r="C120" s="1236" t="s">
        <v>3099</v>
      </c>
      <c r="D120" s="1234" t="s">
        <v>1161</v>
      </c>
      <c r="E120" s="943" t="s">
        <v>3099</v>
      </c>
      <c r="F120" s="942">
        <v>1.05</v>
      </c>
      <c r="G120" s="1239">
        <f>('Material price'!D23+2)</f>
        <v>17.66</v>
      </c>
      <c r="H120" s="952">
        <f>F120*G120</f>
        <v>18.543</v>
      </c>
      <c r="I120" s="1234" t="s">
        <v>1421</v>
      </c>
      <c r="J120" s="942">
        <v>1</v>
      </c>
      <c r="K120" s="949">
        <v>1</v>
      </c>
      <c r="L120" s="949">
        <f>'Labour Cost'!F15</f>
        <v>6.5625</v>
      </c>
      <c r="M120" s="942">
        <v>30</v>
      </c>
      <c r="N120" s="952">
        <f>J120*K120*L120/M120</f>
        <v>0.21875</v>
      </c>
      <c r="O120" s="1234" t="s">
        <v>277</v>
      </c>
      <c r="P120" s="942">
        <v>2</v>
      </c>
      <c r="Q120" s="949">
        <v>1</v>
      </c>
      <c r="R120" s="949">
        <f>R10</f>
        <v>0.32</v>
      </c>
      <c r="S120" s="942">
        <v>30</v>
      </c>
      <c r="T120" s="949">
        <f>P120*Q120*R120/S120</f>
        <v>0.021333333333333333</v>
      </c>
      <c r="U120" s="942"/>
      <c r="V120" s="952"/>
    </row>
    <row r="121" spans="1:22" ht="12.75">
      <c r="A121" s="1234"/>
      <c r="B121" s="1235"/>
      <c r="C121" s="1236"/>
      <c r="D121" s="1234" t="s">
        <v>1162</v>
      </c>
      <c r="E121" s="943" t="s">
        <v>3099</v>
      </c>
      <c r="F121" s="942">
        <v>0.02</v>
      </c>
      <c r="G121" s="949">
        <f>('Material price'!D30)</f>
        <v>23.5</v>
      </c>
      <c r="H121" s="952">
        <f>F121*G121</f>
        <v>0.47000000000000003</v>
      </c>
      <c r="I121" s="1234" t="s">
        <v>1422</v>
      </c>
      <c r="J121" s="942">
        <v>1</v>
      </c>
      <c r="K121" s="949">
        <v>1</v>
      </c>
      <c r="L121" s="1238">
        <f>'Labour Cost'!F16</f>
        <v>26.25</v>
      </c>
      <c r="M121" s="942">
        <v>30</v>
      </c>
      <c r="N121" s="952">
        <f>J121*K121*L121/M121</f>
        <v>0.875</v>
      </c>
      <c r="O121" s="1234" t="s">
        <v>1163</v>
      </c>
      <c r="P121" s="942">
        <v>1</v>
      </c>
      <c r="Q121" s="949">
        <v>0.25</v>
      </c>
      <c r="R121" s="949">
        <v>6.25</v>
      </c>
      <c r="S121" s="942">
        <v>30</v>
      </c>
      <c r="T121" s="949">
        <f>P121*Q121*R121/S121</f>
        <v>0.052083333333333336</v>
      </c>
      <c r="U121" s="942"/>
      <c r="V121" s="952"/>
    </row>
    <row r="122" spans="1:22" ht="12.75">
      <c r="A122" s="1234"/>
      <c r="B122" s="1235"/>
      <c r="C122" s="1236"/>
      <c r="D122" s="1234"/>
      <c r="E122" s="943"/>
      <c r="F122" s="942"/>
      <c r="G122" s="1258"/>
      <c r="H122" s="952"/>
      <c r="I122" s="1234" t="s">
        <v>1164</v>
      </c>
      <c r="J122" s="942">
        <v>1</v>
      </c>
      <c r="K122" s="949">
        <v>0.25</v>
      </c>
      <c r="L122" s="1238">
        <f>'Labour Cost'!F17</f>
        <v>12.25</v>
      </c>
      <c r="M122" s="942">
        <v>30</v>
      </c>
      <c r="N122" s="952">
        <f>J122*K122*L122/M122</f>
        <v>0.10208333333333333</v>
      </c>
      <c r="O122" s="1234"/>
      <c r="P122" s="942"/>
      <c r="Q122" s="942"/>
      <c r="R122" s="942"/>
      <c r="S122" s="942"/>
      <c r="T122" s="949"/>
      <c r="U122" s="942"/>
      <c r="V122" s="952"/>
    </row>
    <row r="123" spans="1:22" ht="12.75">
      <c r="A123" s="1234"/>
      <c r="B123" s="1235"/>
      <c r="C123" s="1236"/>
      <c r="D123" s="1234"/>
      <c r="E123" s="943"/>
      <c r="F123" s="942"/>
      <c r="G123" s="942"/>
      <c r="H123" s="952"/>
      <c r="I123" s="1234" t="s">
        <v>617</v>
      </c>
      <c r="J123" s="942">
        <v>2</v>
      </c>
      <c r="K123" s="949">
        <v>1</v>
      </c>
      <c r="L123" s="1238">
        <f>'Labour Cost'!F21</f>
        <v>8.75</v>
      </c>
      <c r="M123" s="942">
        <v>30</v>
      </c>
      <c r="N123" s="952">
        <f>J123*K123*L123/M123</f>
        <v>0.5833333333333334</v>
      </c>
      <c r="O123" s="1234"/>
      <c r="P123" s="942"/>
      <c r="Q123" s="942"/>
      <c r="R123" s="942"/>
      <c r="S123" s="942"/>
      <c r="T123" s="949"/>
      <c r="U123" s="942"/>
      <c r="V123" s="952"/>
    </row>
    <row r="124" spans="1:22" ht="12.75">
      <c r="A124" s="1234"/>
      <c r="B124" s="1235"/>
      <c r="C124" s="1236"/>
      <c r="D124" s="1234"/>
      <c r="E124" s="943"/>
      <c r="F124" s="942"/>
      <c r="G124" s="942"/>
      <c r="H124" s="952"/>
      <c r="I124" s="1234" t="s">
        <v>275</v>
      </c>
      <c r="J124" s="942">
        <v>1</v>
      </c>
      <c r="K124" s="949">
        <v>0.1</v>
      </c>
      <c r="L124" s="1238">
        <f>'Labour Cost'!F7</f>
        <v>20.81362580128205</v>
      </c>
      <c r="M124" s="942">
        <v>30</v>
      </c>
      <c r="N124" s="952">
        <f>J124*K124*L124/M124</f>
        <v>0.06937875267094017</v>
      </c>
      <c r="O124" s="1234"/>
      <c r="P124" s="942"/>
      <c r="Q124" s="942"/>
      <c r="R124" s="942"/>
      <c r="S124" s="942"/>
      <c r="T124" s="949"/>
      <c r="U124" s="942"/>
      <c r="V124" s="952"/>
    </row>
    <row r="125" spans="1:22" ht="12.75">
      <c r="A125" s="1240"/>
      <c r="B125" s="1249"/>
      <c r="C125" s="1242"/>
      <c r="D125" s="1240"/>
      <c r="E125" s="1243"/>
      <c r="F125" s="1241"/>
      <c r="G125" s="1241"/>
      <c r="H125" s="1247">
        <f>SUM(H120:H124)</f>
        <v>19.012999999999998</v>
      </c>
      <c r="I125" s="1240"/>
      <c r="J125" s="1241"/>
      <c r="K125" s="1245"/>
      <c r="L125" s="1241"/>
      <c r="M125" s="1241"/>
      <c r="N125" s="1247">
        <f>SUM(N120:N124)</f>
        <v>1.848545419337607</v>
      </c>
      <c r="O125" s="1240"/>
      <c r="P125" s="1241"/>
      <c r="Q125" s="1241"/>
      <c r="R125" s="1241"/>
      <c r="S125" s="1241"/>
      <c r="T125" s="1245">
        <f>SUM(T120:T124)</f>
        <v>0.07341666666666667</v>
      </c>
      <c r="U125" s="1245">
        <f>H125+N125+T125</f>
        <v>20.934962086004273</v>
      </c>
      <c r="V125" s="1247">
        <f>U125*$U$4</f>
        <v>28.227542033120493</v>
      </c>
    </row>
    <row r="126" spans="1:22" ht="12.75">
      <c r="A126" s="1002"/>
      <c r="B126" s="546"/>
      <c r="C126" s="1039"/>
      <c r="D126" s="1002"/>
      <c r="E126" s="413"/>
      <c r="F126" s="412"/>
      <c r="G126" s="412"/>
      <c r="H126" s="1059"/>
      <c r="I126" s="1002"/>
      <c r="J126" s="412"/>
      <c r="K126" s="414"/>
      <c r="L126" s="412"/>
      <c r="M126" s="412"/>
      <c r="N126" s="1091"/>
      <c r="O126" s="1002"/>
      <c r="P126" s="412"/>
      <c r="Q126" s="412"/>
      <c r="R126" s="412"/>
      <c r="S126" s="412"/>
      <c r="T126" s="514"/>
      <c r="U126" s="507"/>
      <c r="V126" s="694"/>
    </row>
    <row r="127" spans="1:22" ht="12.75">
      <c r="A127" s="1002">
        <v>19</v>
      </c>
      <c r="B127" s="546" t="s">
        <v>1165</v>
      </c>
      <c r="C127" s="1039"/>
      <c r="D127" s="1002" t="s">
        <v>1290</v>
      </c>
      <c r="E127" s="413" t="s">
        <v>3095</v>
      </c>
      <c r="F127" s="412">
        <v>4.41</v>
      </c>
      <c r="G127" s="414">
        <f>G69</f>
        <v>255.3913043478261</v>
      </c>
      <c r="H127" s="1059">
        <f>F127*G127</f>
        <v>1126.2756521739132</v>
      </c>
      <c r="I127" s="1002" t="s">
        <v>1166</v>
      </c>
      <c r="J127" s="412">
        <v>1</v>
      </c>
      <c r="K127" s="414">
        <v>1</v>
      </c>
      <c r="L127" s="415">
        <f>'Labour Cost'!F9</f>
        <v>26.25</v>
      </c>
      <c r="M127" s="412">
        <v>0.9</v>
      </c>
      <c r="N127" s="1090">
        <f>J127*K127*L127/M127</f>
        <v>29.166666666666664</v>
      </c>
      <c r="O127" s="1002" t="s">
        <v>277</v>
      </c>
      <c r="P127" s="412">
        <v>10</v>
      </c>
      <c r="Q127" s="412">
        <v>1</v>
      </c>
      <c r="R127" s="412">
        <f>R10</f>
        <v>0.32</v>
      </c>
      <c r="S127" s="412">
        <v>0.9</v>
      </c>
      <c r="T127" s="515">
        <f>P127*R127/S127</f>
        <v>3.555555555555556</v>
      </c>
      <c r="U127" s="507"/>
      <c r="V127" s="694"/>
    </row>
    <row r="128" spans="1:22" ht="12.75">
      <c r="A128" s="1002"/>
      <c r="B128" s="546" t="s">
        <v>1167</v>
      </c>
      <c r="C128" s="1039" t="s">
        <v>25</v>
      </c>
      <c r="D128" s="1002" t="s">
        <v>1291</v>
      </c>
      <c r="E128" s="413" t="s">
        <v>484</v>
      </c>
      <c r="F128" s="412">
        <v>1.08</v>
      </c>
      <c r="G128" s="414">
        <f>'Material price'!D8</f>
        <v>312.5</v>
      </c>
      <c r="H128" s="1059">
        <f>F128*G128</f>
        <v>337.5</v>
      </c>
      <c r="I128" s="1002" t="s">
        <v>1168</v>
      </c>
      <c r="J128" s="412">
        <v>10</v>
      </c>
      <c r="K128" s="414">
        <v>1</v>
      </c>
      <c r="L128" s="415">
        <f>'Labour Cost'!F21</f>
        <v>8.75</v>
      </c>
      <c r="M128" s="412">
        <v>0.9</v>
      </c>
      <c r="N128" s="1090">
        <f>J128*K128*L128/M128</f>
        <v>97.22222222222221</v>
      </c>
      <c r="O128" s="1002" t="s">
        <v>614</v>
      </c>
      <c r="P128" s="412">
        <v>1</v>
      </c>
      <c r="Q128" s="412">
        <v>1</v>
      </c>
      <c r="R128" s="414">
        <f>'Equip. Rental Rate'!AB52</f>
        <v>54.62462218906289</v>
      </c>
      <c r="S128" s="412">
        <v>0.9</v>
      </c>
      <c r="T128" s="515">
        <f>R128/S128</f>
        <v>60.69402465451432</v>
      </c>
      <c r="U128" s="507"/>
      <c r="V128" s="694"/>
    </row>
    <row r="129" spans="1:22" ht="12.75">
      <c r="A129" s="1002"/>
      <c r="B129" s="546"/>
      <c r="C129" s="1039"/>
      <c r="D129" s="1002" t="s">
        <v>1169</v>
      </c>
      <c r="E129" s="421">
        <v>0.05</v>
      </c>
      <c r="F129" s="412"/>
      <c r="G129" s="414"/>
      <c r="H129" s="1059">
        <f>H127*0.05</f>
        <v>56.31378260869566</v>
      </c>
      <c r="I129" s="1002" t="s">
        <v>1170</v>
      </c>
      <c r="J129" s="412">
        <v>1</v>
      </c>
      <c r="K129" s="414">
        <v>1</v>
      </c>
      <c r="L129" s="415">
        <f>'Labour Cost'!F24</f>
        <v>15.399999999999999</v>
      </c>
      <c r="M129" s="412">
        <v>0.9</v>
      </c>
      <c r="N129" s="1090">
        <f>J129*K129*L129/M129</f>
        <v>17.11111111111111</v>
      </c>
      <c r="O129" s="1002"/>
      <c r="P129" s="412"/>
      <c r="Q129" s="412"/>
      <c r="R129" s="412"/>
      <c r="S129" s="412"/>
      <c r="T129" s="514"/>
      <c r="U129" s="507"/>
      <c r="V129" s="694"/>
    </row>
    <row r="130" spans="1:22" ht="12.75">
      <c r="A130" s="1002"/>
      <c r="B130" s="546"/>
      <c r="C130" s="1039"/>
      <c r="D130" s="1002" t="s">
        <v>1171</v>
      </c>
      <c r="E130" s="421">
        <v>0.01</v>
      </c>
      <c r="F130" s="412"/>
      <c r="G130" s="412"/>
      <c r="H130" s="1059">
        <f>H128*0.01</f>
        <v>3.375</v>
      </c>
      <c r="I130" s="1002" t="s">
        <v>275</v>
      </c>
      <c r="J130" s="412">
        <v>1</v>
      </c>
      <c r="K130" s="414">
        <v>0.2</v>
      </c>
      <c r="L130" s="415">
        <f>'Labour Cost'!F7</f>
        <v>20.81362580128205</v>
      </c>
      <c r="M130" s="412">
        <v>0.9</v>
      </c>
      <c r="N130" s="1090">
        <f>J130*K130*L130/M130</f>
        <v>4.625250178062678</v>
      </c>
      <c r="O130" s="1002"/>
      <c r="P130" s="412"/>
      <c r="Q130" s="412"/>
      <c r="R130" s="412"/>
      <c r="S130" s="412"/>
      <c r="T130" s="514"/>
      <c r="U130" s="507"/>
      <c r="V130" s="694"/>
    </row>
    <row r="131" spans="1:22" ht="12.75">
      <c r="A131" s="1004"/>
      <c r="B131" s="520"/>
      <c r="C131" s="1040"/>
      <c r="D131" s="1004"/>
      <c r="E131" s="521"/>
      <c r="F131" s="520"/>
      <c r="G131" s="520"/>
      <c r="H131" s="1005">
        <f>SUM(H126:H130)</f>
        <v>1523.4644347826088</v>
      </c>
      <c r="I131" s="1004"/>
      <c r="J131" s="520"/>
      <c r="K131" s="522"/>
      <c r="L131" s="520"/>
      <c r="M131" s="520"/>
      <c r="N131" s="1005">
        <f>SUM(N126:N130)</f>
        <v>148.1252501780627</v>
      </c>
      <c r="O131" s="1004"/>
      <c r="P131" s="520"/>
      <c r="Q131" s="520"/>
      <c r="R131" s="520"/>
      <c r="S131" s="520"/>
      <c r="T131" s="522">
        <f>SUM(T126:T130)</f>
        <v>64.24958021006988</v>
      </c>
      <c r="U131" s="522">
        <f>T131+N131+H131</f>
        <v>1735.8392651707413</v>
      </c>
      <c r="V131" s="1007"/>
    </row>
    <row r="132" spans="1:22" ht="37.5" customHeight="1">
      <c r="A132" s="1002"/>
      <c r="B132" s="1320" t="s">
        <v>437</v>
      </c>
      <c r="C132" s="1327"/>
      <c r="D132" s="1060"/>
      <c r="E132" s="1042"/>
      <c r="F132" s="1042"/>
      <c r="G132" s="1042"/>
      <c r="H132" s="1061"/>
      <c r="I132" s="1002"/>
      <c r="J132" s="412"/>
      <c r="K132" s="414"/>
      <c r="L132" s="412"/>
      <c r="M132" s="412"/>
      <c r="N132" s="1091"/>
      <c r="O132" s="1002"/>
      <c r="P132" s="412"/>
      <c r="Q132" s="412"/>
      <c r="R132" s="412"/>
      <c r="S132" s="412"/>
      <c r="T132" s="514"/>
      <c r="U132" s="507"/>
      <c r="V132" s="694"/>
    </row>
    <row r="133" spans="1:22" ht="12.75">
      <c r="A133" s="1002">
        <v>20</v>
      </c>
      <c r="B133" s="1322" t="s">
        <v>408</v>
      </c>
      <c r="C133" s="1039" t="s">
        <v>25</v>
      </c>
      <c r="D133" s="1002" t="s">
        <v>1285</v>
      </c>
      <c r="E133" s="413" t="s">
        <v>25</v>
      </c>
      <c r="F133" s="414">
        <v>1.25</v>
      </c>
      <c r="G133" s="414">
        <f>'Material price'!D10+(200/4)</f>
        <v>206.52</v>
      </c>
      <c r="H133" s="1059">
        <f>F133*G133</f>
        <v>258.15000000000003</v>
      </c>
      <c r="I133" s="1002" t="s">
        <v>1172</v>
      </c>
      <c r="J133" s="412">
        <v>1</v>
      </c>
      <c r="K133" s="418">
        <v>0.2</v>
      </c>
      <c r="L133" s="414">
        <f>'Labour Cost'!F7</f>
        <v>20.81362580128205</v>
      </c>
      <c r="M133" s="414">
        <v>0.3</v>
      </c>
      <c r="N133" s="1090">
        <f>J133*K133*L133/M133</f>
        <v>13.875750534188034</v>
      </c>
      <c r="O133" s="1002" t="s">
        <v>277</v>
      </c>
      <c r="P133" s="412">
        <v>4</v>
      </c>
      <c r="Q133" s="412">
        <v>1</v>
      </c>
      <c r="R133" s="412">
        <f>R10</f>
        <v>0.32</v>
      </c>
      <c r="S133" s="412">
        <v>0.33</v>
      </c>
      <c r="T133" s="515">
        <f>P133*Q133*R133/0.3</f>
        <v>4.266666666666667</v>
      </c>
      <c r="U133" s="507"/>
      <c r="V133" s="694"/>
    </row>
    <row r="134" spans="1:22" ht="12.75">
      <c r="A134" s="1002"/>
      <c r="B134" s="1322"/>
      <c r="C134" s="1039"/>
      <c r="D134" s="1002" t="s">
        <v>1173</v>
      </c>
      <c r="E134" s="413" t="s">
        <v>25</v>
      </c>
      <c r="F134" s="414">
        <v>0.3</v>
      </c>
      <c r="G134" s="414">
        <f>U131</f>
        <v>1735.8392651707413</v>
      </c>
      <c r="H134" s="1059">
        <f>F134*G134</f>
        <v>520.7517795512224</v>
      </c>
      <c r="I134" s="1002" t="s">
        <v>1174</v>
      </c>
      <c r="J134" s="412">
        <v>1</v>
      </c>
      <c r="K134" s="417">
        <v>1</v>
      </c>
      <c r="L134" s="414">
        <f>'Labour Cost'!F8</f>
        <v>31.499999999999996</v>
      </c>
      <c r="M134" s="414">
        <v>0.3</v>
      </c>
      <c r="N134" s="1090">
        <f>J134*K134*L134/M134</f>
        <v>104.99999999999999</v>
      </c>
      <c r="O134" s="1002"/>
      <c r="P134" s="412"/>
      <c r="Q134" s="412"/>
      <c r="R134" s="412"/>
      <c r="S134" s="412"/>
      <c r="T134" s="514"/>
      <c r="U134" s="507"/>
      <c r="V134" s="694"/>
    </row>
    <row r="135" spans="1:22" ht="12.75">
      <c r="A135" s="1002"/>
      <c r="B135" s="1322"/>
      <c r="C135" s="1039"/>
      <c r="D135" s="1002" t="s">
        <v>2187</v>
      </c>
      <c r="E135" s="421">
        <v>0.05</v>
      </c>
      <c r="F135" s="414"/>
      <c r="G135" s="412"/>
      <c r="H135" s="1059">
        <f>H134*0.05</f>
        <v>26.03758897756112</v>
      </c>
      <c r="I135" s="1002" t="s">
        <v>2188</v>
      </c>
      <c r="J135" s="412">
        <v>4</v>
      </c>
      <c r="K135" s="417">
        <v>1</v>
      </c>
      <c r="L135" s="415">
        <f>'Labour Cost'!F21</f>
        <v>8.75</v>
      </c>
      <c r="M135" s="414">
        <v>0.3</v>
      </c>
      <c r="N135" s="1090">
        <f>J135*K135*L135/M135</f>
        <v>116.66666666666667</v>
      </c>
      <c r="O135" s="1002"/>
      <c r="P135" s="412"/>
      <c r="Q135" s="412"/>
      <c r="R135" s="412"/>
      <c r="S135" s="412"/>
      <c r="T135" s="514"/>
      <c r="U135" s="507"/>
      <c r="V135" s="694"/>
    </row>
    <row r="136" spans="1:22" ht="12.75">
      <c r="A136" s="1004"/>
      <c r="B136" s="548"/>
      <c r="C136" s="1040"/>
      <c r="D136" s="1004"/>
      <c r="E136" s="521"/>
      <c r="F136" s="520"/>
      <c r="G136" s="520"/>
      <c r="H136" s="1005">
        <f>SUM(H133:H135)</f>
        <v>804.9393685287836</v>
      </c>
      <c r="I136" s="1004"/>
      <c r="J136" s="520"/>
      <c r="K136" s="522"/>
      <c r="L136" s="520"/>
      <c r="M136" s="520"/>
      <c r="N136" s="1005">
        <f>SUM(N133:N135)</f>
        <v>235.5424172008547</v>
      </c>
      <c r="O136" s="1004"/>
      <c r="P136" s="520"/>
      <c r="Q136" s="520"/>
      <c r="R136" s="520"/>
      <c r="S136" s="520"/>
      <c r="T136" s="522">
        <f>SUM(T133:T135)</f>
        <v>4.266666666666667</v>
      </c>
      <c r="U136" s="522">
        <f>T136+N136+H136</f>
        <v>1044.7484523963049</v>
      </c>
      <c r="V136" s="1005">
        <f>U136*$U$4</f>
        <v>1408.680881909492</v>
      </c>
    </row>
    <row r="137" spans="1:22" ht="12.75">
      <c r="A137" s="1002"/>
      <c r="B137" s="546"/>
      <c r="C137" s="1039"/>
      <c r="D137" s="1002"/>
      <c r="E137" s="413"/>
      <c r="F137" s="412"/>
      <c r="G137" s="412"/>
      <c r="H137" s="1057"/>
      <c r="I137" s="1002"/>
      <c r="J137" s="412"/>
      <c r="K137" s="414"/>
      <c r="L137" s="412"/>
      <c r="M137" s="412"/>
      <c r="N137" s="1091"/>
      <c r="O137" s="1002"/>
      <c r="P137" s="412"/>
      <c r="Q137" s="412"/>
      <c r="R137" s="412"/>
      <c r="S137" s="412"/>
      <c r="T137" s="514"/>
      <c r="U137" s="507"/>
      <c r="V137" s="694"/>
    </row>
    <row r="138" spans="1:22" ht="12.75">
      <c r="A138" s="1002">
        <v>21</v>
      </c>
      <c r="B138" s="1322" t="s">
        <v>409</v>
      </c>
      <c r="C138" s="1039" t="s">
        <v>25</v>
      </c>
      <c r="D138" s="1002" t="s">
        <v>1285</v>
      </c>
      <c r="E138" s="413" t="s">
        <v>25</v>
      </c>
      <c r="F138" s="414">
        <v>1.3</v>
      </c>
      <c r="G138" s="415">
        <f>G133</f>
        <v>206.52</v>
      </c>
      <c r="H138" s="1059">
        <f>F138*G138</f>
        <v>268.476</v>
      </c>
      <c r="I138" s="1002" t="s">
        <v>1172</v>
      </c>
      <c r="J138" s="412">
        <v>1</v>
      </c>
      <c r="K138" s="418">
        <v>0.2</v>
      </c>
      <c r="L138" s="414">
        <f>'Labour Cost'!F7</f>
        <v>20.81362580128205</v>
      </c>
      <c r="M138" s="414">
        <v>0.25</v>
      </c>
      <c r="N138" s="1090">
        <f>J138*K138*L138/0.25</f>
        <v>16.65090064102564</v>
      </c>
      <c r="O138" s="1002" t="s">
        <v>277</v>
      </c>
      <c r="P138" s="417">
        <v>4</v>
      </c>
      <c r="Q138" s="417">
        <v>1</v>
      </c>
      <c r="R138" s="412">
        <f>R10</f>
        <v>0.32</v>
      </c>
      <c r="S138" s="414">
        <v>0.25</v>
      </c>
      <c r="T138" s="515">
        <f>P138*Q138*R138/0.25</f>
        <v>5.12</v>
      </c>
      <c r="U138" s="507"/>
      <c r="V138" s="694"/>
    </row>
    <row r="139" spans="1:22" ht="12.75">
      <c r="A139" s="1002"/>
      <c r="B139" s="1322"/>
      <c r="C139" s="1039"/>
      <c r="D139" s="1002" t="s">
        <v>1173</v>
      </c>
      <c r="E139" s="413" t="s">
        <v>25</v>
      </c>
      <c r="F139" s="412">
        <v>0.3</v>
      </c>
      <c r="G139" s="414">
        <f>U131</f>
        <v>1735.8392651707413</v>
      </c>
      <c r="H139" s="1059">
        <f>F139*G139</f>
        <v>520.7517795512224</v>
      </c>
      <c r="I139" s="1002" t="s">
        <v>1174</v>
      </c>
      <c r="J139" s="412">
        <v>1</v>
      </c>
      <c r="K139" s="417">
        <v>1</v>
      </c>
      <c r="L139" s="414">
        <f>'Labour Cost'!F8</f>
        <v>31.499999999999996</v>
      </c>
      <c r="M139" s="414">
        <v>0.25</v>
      </c>
      <c r="N139" s="1090">
        <f>J139*K139*L139/0.25</f>
        <v>125.99999999999999</v>
      </c>
      <c r="O139" s="1002"/>
      <c r="P139" s="412"/>
      <c r="Q139" s="412"/>
      <c r="R139" s="412"/>
      <c r="S139" s="412"/>
      <c r="T139" s="515"/>
      <c r="U139" s="507"/>
      <c r="V139" s="694"/>
    </row>
    <row r="140" spans="1:22" ht="12.75">
      <c r="A140" s="1002"/>
      <c r="B140" s="1322"/>
      <c r="C140" s="1039"/>
      <c r="D140" s="1002" t="s">
        <v>2187</v>
      </c>
      <c r="E140" s="421">
        <v>0.05</v>
      </c>
      <c r="F140" s="412"/>
      <c r="G140" s="412"/>
      <c r="H140" s="1059">
        <f>H139*0.05</f>
        <v>26.03758897756112</v>
      </c>
      <c r="I140" s="1002" t="s">
        <v>2188</v>
      </c>
      <c r="J140" s="412">
        <v>4</v>
      </c>
      <c r="K140" s="417">
        <v>1</v>
      </c>
      <c r="L140" s="415">
        <f>'Labour Cost'!F21</f>
        <v>8.75</v>
      </c>
      <c r="M140" s="414">
        <v>0.25</v>
      </c>
      <c r="N140" s="1090">
        <f>J140*K140*L140/0.25</f>
        <v>140</v>
      </c>
      <c r="O140" s="1002"/>
      <c r="P140" s="412"/>
      <c r="Q140" s="412"/>
      <c r="R140" s="412"/>
      <c r="S140" s="412"/>
      <c r="T140" s="515"/>
      <c r="U140" s="507"/>
      <c r="V140" s="694"/>
    </row>
    <row r="141" spans="1:22" ht="12.75">
      <c r="A141" s="1004"/>
      <c r="B141" s="548"/>
      <c r="C141" s="1040"/>
      <c r="D141" s="1004"/>
      <c r="E141" s="521"/>
      <c r="F141" s="520"/>
      <c r="G141" s="520"/>
      <c r="H141" s="1062">
        <f>SUM(H138:H140)</f>
        <v>815.2653685287835</v>
      </c>
      <c r="I141" s="1004"/>
      <c r="J141" s="520"/>
      <c r="K141" s="522"/>
      <c r="L141" s="520"/>
      <c r="M141" s="520"/>
      <c r="N141" s="1005">
        <f>SUM(N138:N140)</f>
        <v>282.6509006410256</v>
      </c>
      <c r="O141" s="1004"/>
      <c r="P141" s="520"/>
      <c r="Q141" s="520"/>
      <c r="R141" s="520"/>
      <c r="S141" s="520"/>
      <c r="T141" s="522">
        <f>SUM(T138:T140)</f>
        <v>5.12</v>
      </c>
      <c r="U141" s="522">
        <f>T141+N141+H141</f>
        <v>1103.0362691698092</v>
      </c>
      <c r="V141" s="1005">
        <f>U141*$U$4</f>
        <v>1487.2729419874452</v>
      </c>
    </row>
    <row r="142" spans="1:22" ht="12.75">
      <c r="A142" s="1002"/>
      <c r="B142" s="546"/>
      <c r="C142" s="1039"/>
      <c r="D142" s="1002"/>
      <c r="E142" s="413"/>
      <c r="F142" s="412"/>
      <c r="G142" s="412"/>
      <c r="H142" s="1057"/>
      <c r="I142" s="1002"/>
      <c r="J142" s="412"/>
      <c r="K142" s="414"/>
      <c r="L142" s="412"/>
      <c r="M142" s="412"/>
      <c r="N142" s="1091"/>
      <c r="O142" s="1002"/>
      <c r="P142" s="412"/>
      <c r="Q142" s="412"/>
      <c r="R142" s="412"/>
      <c r="S142" s="412"/>
      <c r="T142" s="515"/>
      <c r="U142" s="507"/>
      <c r="V142" s="1005"/>
    </row>
    <row r="143" spans="1:22" ht="26.25" customHeight="1">
      <c r="A143" s="1002">
        <v>22</v>
      </c>
      <c r="B143" s="550" t="s">
        <v>410</v>
      </c>
      <c r="C143" s="1039"/>
      <c r="D143" s="1002" t="s">
        <v>1151</v>
      </c>
      <c r="E143" s="413" t="s">
        <v>2189</v>
      </c>
      <c r="F143" s="422">
        <v>0.025</v>
      </c>
      <c r="G143" s="414">
        <f>G69</f>
        <v>255.3913043478261</v>
      </c>
      <c r="H143" s="1063">
        <f>F143*G143</f>
        <v>6.3847826086956525</v>
      </c>
      <c r="I143" s="1002" t="s">
        <v>619</v>
      </c>
      <c r="J143" s="412">
        <v>1</v>
      </c>
      <c r="K143" s="414">
        <v>0.25</v>
      </c>
      <c r="L143" s="415">
        <f>'Labour Cost'!F24</f>
        <v>15.399999999999999</v>
      </c>
      <c r="M143" s="412">
        <v>50</v>
      </c>
      <c r="N143" s="1092">
        <f>J143*K143*L143/M143</f>
        <v>0.077</v>
      </c>
      <c r="O143" s="1002" t="s">
        <v>614</v>
      </c>
      <c r="P143" s="412">
        <v>1</v>
      </c>
      <c r="Q143" s="412">
        <v>1</v>
      </c>
      <c r="R143" s="412">
        <v>25</v>
      </c>
      <c r="S143" s="412">
        <v>50</v>
      </c>
      <c r="T143" s="515">
        <f>P143*Q143*R143/S143</f>
        <v>0.5</v>
      </c>
      <c r="U143" s="507"/>
      <c r="V143" s="1005"/>
    </row>
    <row r="144" spans="1:22" ht="12.75">
      <c r="A144" s="1002"/>
      <c r="B144" s="546" t="s">
        <v>1213</v>
      </c>
      <c r="C144" s="1039" t="s">
        <v>149</v>
      </c>
      <c r="D144" s="1002" t="s">
        <v>1291</v>
      </c>
      <c r="E144" s="413" t="s">
        <v>25</v>
      </c>
      <c r="F144" s="412">
        <v>0.004</v>
      </c>
      <c r="G144" s="414">
        <f>'Material price'!D8</f>
        <v>312.5</v>
      </c>
      <c r="H144" s="1063">
        <f>F144*G144</f>
        <v>1.25</v>
      </c>
      <c r="I144" s="1002" t="s">
        <v>1168</v>
      </c>
      <c r="J144" s="412">
        <v>10</v>
      </c>
      <c r="K144" s="414">
        <v>1</v>
      </c>
      <c r="L144" s="415">
        <v>2.13</v>
      </c>
      <c r="M144" s="412">
        <v>50</v>
      </c>
      <c r="N144" s="1092">
        <f>J144*K144*L144/M144</f>
        <v>0.42599999999999993</v>
      </c>
      <c r="O144" s="1002" t="s">
        <v>2347</v>
      </c>
      <c r="P144" s="412">
        <v>1</v>
      </c>
      <c r="Q144" s="412">
        <v>1</v>
      </c>
      <c r="R144" s="412">
        <v>25</v>
      </c>
      <c r="S144" s="412">
        <v>50</v>
      </c>
      <c r="T144" s="515">
        <f>P144*Q144*R144/S144</f>
        <v>0.5</v>
      </c>
      <c r="U144" s="507"/>
      <c r="V144" s="1005"/>
    </row>
    <row r="145" spans="1:22" ht="12.75">
      <c r="A145" s="1002"/>
      <c r="B145" s="546"/>
      <c r="C145" s="1039"/>
      <c r="D145" s="1002" t="s">
        <v>2365</v>
      </c>
      <c r="E145" s="413" t="s">
        <v>25</v>
      </c>
      <c r="F145" s="412">
        <v>0.0054</v>
      </c>
      <c r="G145" s="414">
        <f>'Material price'!D13</f>
        <v>93.75</v>
      </c>
      <c r="H145" s="1063">
        <f>F145*G145</f>
        <v>0.50625</v>
      </c>
      <c r="I145" s="1002" t="s">
        <v>2346</v>
      </c>
      <c r="J145" s="412">
        <v>1</v>
      </c>
      <c r="K145" s="414">
        <v>1</v>
      </c>
      <c r="L145" s="415">
        <f>'Labour Cost'!F24</f>
        <v>15.399999999999999</v>
      </c>
      <c r="M145" s="412">
        <v>50</v>
      </c>
      <c r="N145" s="1092">
        <f>J145*K145*L145/M145</f>
        <v>0.308</v>
      </c>
      <c r="O145" s="1002" t="s">
        <v>277</v>
      </c>
      <c r="P145" s="412">
        <v>10</v>
      </c>
      <c r="Q145" s="412">
        <v>1</v>
      </c>
      <c r="R145" s="412">
        <f>R10</f>
        <v>0.32</v>
      </c>
      <c r="S145" s="412">
        <v>50</v>
      </c>
      <c r="T145" s="515">
        <f>P145*Q145*R145/S145</f>
        <v>0.064</v>
      </c>
      <c r="U145" s="507"/>
      <c r="V145" s="1005"/>
    </row>
    <row r="146" spans="1:22" ht="12.75">
      <c r="A146" s="1002"/>
      <c r="B146" s="546"/>
      <c r="C146" s="1039"/>
      <c r="D146" s="1002" t="s">
        <v>2344</v>
      </c>
      <c r="E146" s="413" t="s">
        <v>25</v>
      </c>
      <c r="F146" s="422">
        <v>0.0018</v>
      </c>
      <c r="G146" s="414">
        <f>'Material price'!D16</f>
        <v>200</v>
      </c>
      <c r="H146" s="1063">
        <f>F146*G146</f>
        <v>0.36</v>
      </c>
      <c r="I146" s="1002" t="s">
        <v>275</v>
      </c>
      <c r="J146" s="412">
        <v>1</v>
      </c>
      <c r="K146" s="414">
        <v>0.2</v>
      </c>
      <c r="L146" s="415">
        <f>'Labour Cost'!F7</f>
        <v>20.81362580128205</v>
      </c>
      <c r="M146" s="412">
        <v>50</v>
      </c>
      <c r="N146" s="1092">
        <f>J146*K146*L146/M146</f>
        <v>0.0832545032051282</v>
      </c>
      <c r="O146" s="1002"/>
      <c r="P146" s="412"/>
      <c r="Q146" s="412"/>
      <c r="R146" s="412"/>
      <c r="S146" s="412"/>
      <c r="T146" s="514"/>
      <c r="U146" s="507"/>
      <c r="V146" s="1005"/>
    </row>
    <row r="147" spans="1:22" ht="12.75">
      <c r="A147" s="1002"/>
      <c r="B147" s="546"/>
      <c r="C147" s="1039"/>
      <c r="D147" s="1002" t="s">
        <v>261</v>
      </c>
      <c r="E147" s="413" t="s">
        <v>2345</v>
      </c>
      <c r="F147" s="422">
        <v>0.001</v>
      </c>
      <c r="G147" s="414">
        <f>'Material price'!D17</f>
        <v>3</v>
      </c>
      <c r="H147" s="1063">
        <f>F147*G147</f>
        <v>0.003</v>
      </c>
      <c r="I147" s="1002"/>
      <c r="J147" s="412"/>
      <c r="K147" s="414"/>
      <c r="L147" s="412"/>
      <c r="M147" s="412"/>
      <c r="N147" s="1091"/>
      <c r="O147" s="1002"/>
      <c r="P147" s="412"/>
      <c r="Q147" s="412"/>
      <c r="R147" s="412"/>
      <c r="S147" s="412"/>
      <c r="T147" s="515"/>
      <c r="U147" s="508"/>
      <c r="V147" s="1005"/>
    </row>
    <row r="148" spans="1:22" ht="12.75">
      <c r="A148" s="1004"/>
      <c r="B148" s="548"/>
      <c r="C148" s="1040"/>
      <c r="D148" s="1004"/>
      <c r="E148" s="521"/>
      <c r="F148" s="522"/>
      <c r="G148" s="522"/>
      <c r="H148" s="1005">
        <f>SUM(H143:H147)</f>
        <v>8.504032608695653</v>
      </c>
      <c r="I148" s="1004"/>
      <c r="J148" s="520"/>
      <c r="K148" s="522"/>
      <c r="L148" s="520"/>
      <c r="M148" s="520"/>
      <c r="N148" s="1093">
        <f>SUM(N143:N147)</f>
        <v>0.8942545032051281</v>
      </c>
      <c r="O148" s="1004"/>
      <c r="P148" s="520"/>
      <c r="Q148" s="520"/>
      <c r="R148" s="520"/>
      <c r="S148" s="520"/>
      <c r="T148" s="522">
        <f>SUM(T143:T147)</f>
        <v>1.064</v>
      </c>
      <c r="U148" s="522">
        <f>H148+N148+T148</f>
        <v>10.46228711190078</v>
      </c>
      <c r="V148" s="1005">
        <f>U148*$U$4</f>
        <v>14.106767807866657</v>
      </c>
    </row>
    <row r="149" spans="1:22" ht="12.75">
      <c r="A149" s="1002"/>
      <c r="B149" s="546"/>
      <c r="C149" s="1039"/>
      <c r="D149" s="1002"/>
      <c r="E149" s="413"/>
      <c r="F149" s="412"/>
      <c r="G149" s="412"/>
      <c r="H149" s="1057"/>
      <c r="I149" s="1002"/>
      <c r="J149" s="412"/>
      <c r="K149" s="414"/>
      <c r="L149" s="412"/>
      <c r="M149" s="412"/>
      <c r="N149" s="1091"/>
      <c r="O149" s="1002"/>
      <c r="P149" s="412"/>
      <c r="Q149" s="412"/>
      <c r="R149" s="412"/>
      <c r="S149" s="412"/>
      <c r="T149" s="514"/>
      <c r="U149" s="507"/>
      <c r="V149" s="1005"/>
    </row>
    <row r="150" spans="1:22" ht="21.75" customHeight="1">
      <c r="A150" s="1002">
        <v>23</v>
      </c>
      <c r="B150" s="550" t="s">
        <v>411</v>
      </c>
      <c r="C150" s="1039"/>
      <c r="D150" s="1002" t="s">
        <v>1151</v>
      </c>
      <c r="E150" s="413" t="s">
        <v>2189</v>
      </c>
      <c r="F150" s="500">
        <v>0.0195</v>
      </c>
      <c r="G150" s="414">
        <f>G69</f>
        <v>255.3913043478261</v>
      </c>
      <c r="H150" s="1063">
        <f>F150*G150</f>
        <v>4.980130434782609</v>
      </c>
      <c r="I150" s="1002" t="s">
        <v>619</v>
      </c>
      <c r="J150" s="412">
        <v>1</v>
      </c>
      <c r="K150" s="414">
        <v>0.25</v>
      </c>
      <c r="L150" s="415">
        <f>'Labour Cost'!F24</f>
        <v>15.399999999999999</v>
      </c>
      <c r="M150" s="412">
        <v>53</v>
      </c>
      <c r="N150" s="1092">
        <f>J150*K150*L150/M150</f>
        <v>0.07264150943396226</v>
      </c>
      <c r="O150" s="1002" t="s">
        <v>614</v>
      </c>
      <c r="P150" s="412">
        <v>1</v>
      </c>
      <c r="Q150" s="412">
        <v>1</v>
      </c>
      <c r="R150" s="412">
        <v>25</v>
      </c>
      <c r="S150" s="412">
        <v>53</v>
      </c>
      <c r="T150" s="515">
        <f>P150*Q150*R150/S150</f>
        <v>0.4716981132075472</v>
      </c>
      <c r="U150" s="507"/>
      <c r="V150" s="1005"/>
    </row>
    <row r="151" spans="1:22" ht="12.75">
      <c r="A151" s="1002"/>
      <c r="B151" s="546"/>
      <c r="C151" s="1039" t="s">
        <v>149</v>
      </c>
      <c r="D151" s="1002" t="s">
        <v>1291</v>
      </c>
      <c r="E151" s="413" t="s">
        <v>25</v>
      </c>
      <c r="F151" s="412">
        <v>0.00297</v>
      </c>
      <c r="G151" s="414">
        <f>'Material price'!D8</f>
        <v>312.5</v>
      </c>
      <c r="H151" s="1063">
        <f>F151*G151</f>
        <v>0.928125</v>
      </c>
      <c r="I151" s="1002" t="s">
        <v>1168</v>
      </c>
      <c r="J151" s="412">
        <v>10</v>
      </c>
      <c r="K151" s="414">
        <v>1</v>
      </c>
      <c r="L151" s="415">
        <v>2.13</v>
      </c>
      <c r="M151" s="412">
        <v>53</v>
      </c>
      <c r="N151" s="1092">
        <f>J151*K151*L151/M151</f>
        <v>0.40188679245283015</v>
      </c>
      <c r="O151" s="1002" t="s">
        <v>2347</v>
      </c>
      <c r="P151" s="412">
        <v>1</v>
      </c>
      <c r="Q151" s="412">
        <v>1</v>
      </c>
      <c r="R151" s="412">
        <v>25</v>
      </c>
      <c r="S151" s="412">
        <v>53</v>
      </c>
      <c r="T151" s="515">
        <f>P151*Q151*R151/S151</f>
        <v>0.4716981132075472</v>
      </c>
      <c r="U151" s="507"/>
      <c r="V151" s="1005"/>
    </row>
    <row r="152" spans="1:22" ht="12.75">
      <c r="A152" s="1002"/>
      <c r="B152" s="546"/>
      <c r="C152" s="1039"/>
      <c r="D152" s="1002" t="s">
        <v>2365</v>
      </c>
      <c r="E152" s="413" t="s">
        <v>25</v>
      </c>
      <c r="F152" s="412">
        <v>0.00395</v>
      </c>
      <c r="G152" s="414">
        <f>'Material price'!D13</f>
        <v>93.75</v>
      </c>
      <c r="H152" s="1063">
        <f>F152*G152</f>
        <v>0.37031250000000004</v>
      </c>
      <c r="I152" s="1002" t="s">
        <v>2346</v>
      </c>
      <c r="J152" s="412">
        <v>1</v>
      </c>
      <c r="K152" s="414">
        <v>1</v>
      </c>
      <c r="L152" s="415">
        <f>'Labour Cost'!F24</f>
        <v>15.399999999999999</v>
      </c>
      <c r="M152" s="412">
        <v>53</v>
      </c>
      <c r="N152" s="1092">
        <f>J152*K152*L152/M152</f>
        <v>0.29056603773584905</v>
      </c>
      <c r="O152" s="1002" t="s">
        <v>277</v>
      </c>
      <c r="P152" s="412">
        <v>10</v>
      </c>
      <c r="Q152" s="412">
        <v>1</v>
      </c>
      <c r="R152" s="412">
        <f>R10</f>
        <v>0.32</v>
      </c>
      <c r="S152" s="412">
        <v>53</v>
      </c>
      <c r="T152" s="515">
        <f>P152*Q152*R152/S152</f>
        <v>0.06037735849056604</v>
      </c>
      <c r="U152" s="507"/>
      <c r="V152" s="1005"/>
    </row>
    <row r="153" spans="1:22" ht="12.75">
      <c r="A153" s="1002"/>
      <c r="B153" s="546"/>
      <c r="C153" s="1039"/>
      <c r="D153" s="1002" t="s">
        <v>2352</v>
      </c>
      <c r="E153" s="413" t="s">
        <v>25</v>
      </c>
      <c r="F153" s="500">
        <v>0.00148</v>
      </c>
      <c r="G153" s="414">
        <f>'Material price'!D16</f>
        <v>200</v>
      </c>
      <c r="H153" s="1063">
        <f>F153*G153</f>
        <v>0.296</v>
      </c>
      <c r="I153" s="1002" t="s">
        <v>275</v>
      </c>
      <c r="J153" s="412">
        <v>1</v>
      </c>
      <c r="K153" s="414">
        <v>0.2</v>
      </c>
      <c r="L153" s="415">
        <f>'Labour Cost'!F7</f>
        <v>20.81362580128205</v>
      </c>
      <c r="M153" s="412">
        <v>53</v>
      </c>
      <c r="N153" s="1092">
        <f>J153*K153*L153/M153</f>
        <v>0.07854198415578131</v>
      </c>
      <c r="O153" s="1002"/>
      <c r="P153" s="412"/>
      <c r="Q153" s="412"/>
      <c r="R153" s="412"/>
      <c r="S153" s="412"/>
      <c r="T153" s="515"/>
      <c r="U153" s="507"/>
      <c r="V153" s="1005"/>
    </row>
    <row r="154" spans="1:22" ht="12.75">
      <c r="A154" s="1002"/>
      <c r="B154" s="546"/>
      <c r="C154" s="1039"/>
      <c r="D154" s="1002" t="s">
        <v>261</v>
      </c>
      <c r="E154" s="413" t="s">
        <v>2345</v>
      </c>
      <c r="F154" s="422">
        <v>0.001</v>
      </c>
      <c r="G154" s="414">
        <f>'Material price'!D17</f>
        <v>3</v>
      </c>
      <c r="H154" s="1063">
        <f>F154*G154</f>
        <v>0.003</v>
      </c>
      <c r="I154" s="1002"/>
      <c r="J154" s="412"/>
      <c r="K154" s="414"/>
      <c r="L154" s="412"/>
      <c r="M154" s="412"/>
      <c r="N154" s="1091"/>
      <c r="O154" s="1002"/>
      <c r="P154" s="412"/>
      <c r="Q154" s="412"/>
      <c r="R154" s="412"/>
      <c r="S154" s="412"/>
      <c r="T154" s="515"/>
      <c r="U154" s="508"/>
      <c r="V154" s="1005"/>
    </row>
    <row r="155" spans="1:22" ht="12.75">
      <c r="A155" s="1004"/>
      <c r="B155" s="548"/>
      <c r="C155" s="1040"/>
      <c r="D155" s="1004"/>
      <c r="E155" s="521"/>
      <c r="F155" s="522"/>
      <c r="G155" s="522"/>
      <c r="H155" s="1005">
        <f>SUM(H150:H154)</f>
        <v>6.577567934782609</v>
      </c>
      <c r="I155" s="1004"/>
      <c r="J155" s="520"/>
      <c r="K155" s="522"/>
      <c r="L155" s="520"/>
      <c r="M155" s="520"/>
      <c r="N155" s="1093">
        <f>SUM(N150:N154)</f>
        <v>0.8436363237784228</v>
      </c>
      <c r="O155" s="1004"/>
      <c r="P155" s="520"/>
      <c r="Q155" s="520"/>
      <c r="R155" s="520"/>
      <c r="S155" s="520"/>
      <c r="T155" s="522">
        <f>SUM(T150:T154)</f>
        <v>1.0037735849056604</v>
      </c>
      <c r="U155" s="522">
        <f>H155+N155+T155</f>
        <v>8.424977843466692</v>
      </c>
      <c r="V155" s="1005">
        <f>U155*$U$4</f>
        <v>11.359772959109067</v>
      </c>
    </row>
    <row r="156" spans="1:22" ht="21.75" customHeight="1">
      <c r="A156" s="1002">
        <v>24</v>
      </c>
      <c r="B156" s="550" t="s">
        <v>412</v>
      </c>
      <c r="C156" s="1039"/>
      <c r="D156" s="1002" t="s">
        <v>1151</v>
      </c>
      <c r="E156" s="413" t="s">
        <v>2189</v>
      </c>
      <c r="F156" s="422">
        <v>0.0125</v>
      </c>
      <c r="G156" s="414">
        <f>G69</f>
        <v>255.3913043478261</v>
      </c>
      <c r="H156" s="1063">
        <f>F156*G156</f>
        <v>3.1923913043478263</v>
      </c>
      <c r="I156" s="1002" t="s">
        <v>619</v>
      </c>
      <c r="J156" s="412">
        <v>1</v>
      </c>
      <c r="K156" s="414">
        <v>0.25</v>
      </c>
      <c r="L156" s="415">
        <f>'Labour Cost'!F24</f>
        <v>15.399999999999999</v>
      </c>
      <c r="M156" s="412">
        <v>55</v>
      </c>
      <c r="N156" s="1092">
        <f>J156*K156*L156/M156</f>
        <v>0.06999999999999999</v>
      </c>
      <c r="O156" s="1002" t="s">
        <v>614</v>
      </c>
      <c r="P156" s="412">
        <v>1</v>
      </c>
      <c r="Q156" s="412">
        <v>1</v>
      </c>
      <c r="R156" s="412">
        <v>25</v>
      </c>
      <c r="S156" s="412">
        <v>55</v>
      </c>
      <c r="T156" s="515">
        <f>P156*Q156*R156/S156</f>
        <v>0.45454545454545453</v>
      </c>
      <c r="U156" s="507"/>
      <c r="V156" s="1005"/>
    </row>
    <row r="157" spans="1:22" ht="12.75">
      <c r="A157" s="1002"/>
      <c r="B157" s="546" t="s">
        <v>1213</v>
      </c>
      <c r="C157" s="1039" t="s">
        <v>149</v>
      </c>
      <c r="D157" s="1002" t="s">
        <v>1291</v>
      </c>
      <c r="E157" s="413" t="s">
        <v>25</v>
      </c>
      <c r="F157" s="412">
        <v>0.0018</v>
      </c>
      <c r="G157" s="414">
        <f>'Material price'!D8</f>
        <v>312.5</v>
      </c>
      <c r="H157" s="1063">
        <f>F157*G157</f>
        <v>0.5625</v>
      </c>
      <c r="I157" s="1002" t="s">
        <v>1168</v>
      </c>
      <c r="J157" s="412">
        <v>10</v>
      </c>
      <c r="K157" s="414">
        <v>1</v>
      </c>
      <c r="L157" s="415">
        <f>'Labour Cost'!F21</f>
        <v>8.75</v>
      </c>
      <c r="M157" s="412">
        <v>55</v>
      </c>
      <c r="N157" s="1092">
        <f>J157*K157*L157/M157</f>
        <v>1.5909090909090908</v>
      </c>
      <c r="O157" s="1002" t="s">
        <v>2347</v>
      </c>
      <c r="P157" s="412">
        <v>1</v>
      </c>
      <c r="Q157" s="412">
        <v>1</v>
      </c>
      <c r="R157" s="412">
        <v>25</v>
      </c>
      <c r="S157" s="412">
        <v>55</v>
      </c>
      <c r="T157" s="515">
        <f>P157*Q157*R157/S157</f>
        <v>0.45454545454545453</v>
      </c>
      <c r="U157" s="507"/>
      <c r="V157" s="1005"/>
    </row>
    <row r="158" spans="1:22" ht="12.75">
      <c r="A158" s="1002"/>
      <c r="B158" s="546"/>
      <c r="C158" s="1039"/>
      <c r="D158" s="1002" t="s">
        <v>2365</v>
      </c>
      <c r="E158" s="413" t="s">
        <v>25</v>
      </c>
      <c r="F158" s="412">
        <v>0.0027</v>
      </c>
      <c r="G158" s="414">
        <f>'Material price'!D13</f>
        <v>93.75</v>
      </c>
      <c r="H158" s="1063">
        <f>F158*G158</f>
        <v>0.253125</v>
      </c>
      <c r="I158" s="1002" t="s">
        <v>2346</v>
      </c>
      <c r="J158" s="412">
        <v>1</v>
      </c>
      <c r="K158" s="414">
        <v>1</v>
      </c>
      <c r="L158" s="415">
        <f>'Labour Cost'!F24</f>
        <v>15.399999999999999</v>
      </c>
      <c r="M158" s="412">
        <v>55</v>
      </c>
      <c r="N158" s="1092">
        <f>J158*K158*L158/M158</f>
        <v>0.27999999999999997</v>
      </c>
      <c r="O158" s="1002" t="s">
        <v>277</v>
      </c>
      <c r="P158" s="412">
        <v>10</v>
      </c>
      <c r="Q158" s="412">
        <v>1</v>
      </c>
      <c r="R158" s="412">
        <f>R10</f>
        <v>0.32</v>
      </c>
      <c r="S158" s="412">
        <v>55</v>
      </c>
      <c r="T158" s="515">
        <f>P158*Q158*R158/S158</f>
        <v>0.05818181818181818</v>
      </c>
      <c r="U158" s="507"/>
      <c r="V158" s="1005"/>
    </row>
    <row r="159" spans="1:22" ht="12.75">
      <c r="A159" s="1002"/>
      <c r="B159" s="546"/>
      <c r="C159" s="1039"/>
      <c r="D159" s="1002" t="s">
        <v>2352</v>
      </c>
      <c r="E159" s="413" t="s">
        <v>25</v>
      </c>
      <c r="F159" s="422">
        <v>0.0009</v>
      </c>
      <c r="G159" s="414">
        <f>'Material price'!D16</f>
        <v>200</v>
      </c>
      <c r="H159" s="1063">
        <f>F159*G159</f>
        <v>0.18</v>
      </c>
      <c r="I159" s="1002" t="s">
        <v>275</v>
      </c>
      <c r="J159" s="412">
        <v>1</v>
      </c>
      <c r="K159" s="414">
        <v>0.2</v>
      </c>
      <c r="L159" s="415">
        <f>'Labour Cost'!F7</f>
        <v>20.81362580128205</v>
      </c>
      <c r="M159" s="412">
        <v>55</v>
      </c>
      <c r="N159" s="1092">
        <f>J159*K159*L159/M159</f>
        <v>0.075685912004662</v>
      </c>
      <c r="O159" s="1002"/>
      <c r="P159" s="412"/>
      <c r="Q159" s="412"/>
      <c r="R159" s="412"/>
      <c r="S159" s="412"/>
      <c r="T159" s="514"/>
      <c r="U159" s="507"/>
      <c r="V159" s="1005"/>
    </row>
    <row r="160" spans="1:22" ht="12.75">
      <c r="A160" s="1002"/>
      <c r="B160" s="546"/>
      <c r="C160" s="1039"/>
      <c r="D160" s="1002" t="s">
        <v>261</v>
      </c>
      <c r="E160" s="413" t="s">
        <v>2345</v>
      </c>
      <c r="F160" s="422">
        <v>0.00075</v>
      </c>
      <c r="G160" s="414">
        <f>'Material price'!D17</f>
        <v>3</v>
      </c>
      <c r="H160" s="1063">
        <f>F160*G160</f>
        <v>0.0022500000000000003</v>
      </c>
      <c r="I160" s="1002"/>
      <c r="J160" s="412"/>
      <c r="K160" s="414"/>
      <c r="L160" s="412"/>
      <c r="M160" s="412"/>
      <c r="N160" s="1091"/>
      <c r="O160" s="1002"/>
      <c r="P160" s="412"/>
      <c r="Q160" s="412"/>
      <c r="R160" s="412"/>
      <c r="S160" s="412"/>
      <c r="T160" s="515"/>
      <c r="U160" s="508"/>
      <c r="V160" s="1005"/>
    </row>
    <row r="161" spans="1:22" ht="12.75">
      <c r="A161" s="1004"/>
      <c r="B161" s="548"/>
      <c r="C161" s="1040"/>
      <c r="D161" s="1004"/>
      <c r="E161" s="521"/>
      <c r="F161" s="522"/>
      <c r="G161" s="522"/>
      <c r="H161" s="1005">
        <f>SUM(H156:H160)</f>
        <v>4.190266304347826</v>
      </c>
      <c r="I161" s="1004"/>
      <c r="J161" s="520"/>
      <c r="K161" s="522"/>
      <c r="L161" s="520"/>
      <c r="M161" s="520"/>
      <c r="N161" s="1093">
        <f>SUM(N156:N160)</f>
        <v>2.016595002913753</v>
      </c>
      <c r="O161" s="1004"/>
      <c r="P161" s="520"/>
      <c r="Q161" s="520"/>
      <c r="R161" s="520"/>
      <c r="S161" s="520"/>
      <c r="T161" s="522">
        <f>SUM(T156:T160)</f>
        <v>0.9672727272727273</v>
      </c>
      <c r="U161" s="522">
        <f>H161+N161+T161</f>
        <v>7.1741340345343065</v>
      </c>
      <c r="V161" s="1005">
        <f>U161*$U$4</f>
        <v>9.673204526433844</v>
      </c>
    </row>
    <row r="162" spans="1:22" s="438" customFormat="1" ht="12.75">
      <c r="A162" s="1008"/>
      <c r="B162" s="549"/>
      <c r="C162" s="1047"/>
      <c r="D162" s="1008"/>
      <c r="E162" s="453"/>
      <c r="F162" s="416"/>
      <c r="G162" s="416"/>
      <c r="H162" s="1057"/>
      <c r="I162" s="1008"/>
      <c r="J162" s="420"/>
      <c r="K162" s="416"/>
      <c r="L162" s="420"/>
      <c r="M162" s="420"/>
      <c r="N162" s="1092"/>
      <c r="O162" s="1008"/>
      <c r="P162" s="420"/>
      <c r="Q162" s="420"/>
      <c r="R162" s="420"/>
      <c r="S162" s="420"/>
      <c r="T162" s="515"/>
      <c r="U162" s="508"/>
      <c r="V162" s="1005"/>
    </row>
    <row r="163" spans="1:22" ht="12.75">
      <c r="A163" s="1002">
        <v>25</v>
      </c>
      <c r="B163" s="546" t="s">
        <v>1099</v>
      </c>
      <c r="C163" s="1039"/>
      <c r="D163" s="1002" t="s">
        <v>1100</v>
      </c>
      <c r="E163" s="413" t="s">
        <v>1561</v>
      </c>
      <c r="F163" s="414">
        <v>13</v>
      </c>
      <c r="G163" s="415">
        <f>V148</f>
        <v>14.106767807866657</v>
      </c>
      <c r="H163" s="1059">
        <f>F163*G163</f>
        <v>183.38798150226654</v>
      </c>
      <c r="I163" s="1002" t="s">
        <v>275</v>
      </c>
      <c r="J163" s="412">
        <v>1</v>
      </c>
      <c r="K163" s="414">
        <v>0.1</v>
      </c>
      <c r="L163" s="414">
        <f>'Labour Cost'!F7</f>
        <v>20.81362580128205</v>
      </c>
      <c r="M163" s="414">
        <v>1.25</v>
      </c>
      <c r="N163" s="1090">
        <f>J163*K163*L163/M163</f>
        <v>1.6650900641025639</v>
      </c>
      <c r="O163" s="1002" t="s">
        <v>277</v>
      </c>
      <c r="P163" s="412">
        <v>2</v>
      </c>
      <c r="Q163" s="412">
        <v>1</v>
      </c>
      <c r="R163" s="412">
        <f>R10</f>
        <v>0.32</v>
      </c>
      <c r="S163" s="412">
        <v>1.25</v>
      </c>
      <c r="T163" s="515">
        <f>P163*Q163*R163/S163</f>
        <v>0.512</v>
      </c>
      <c r="U163" s="507"/>
      <c r="V163" s="1005"/>
    </row>
    <row r="164" spans="1:22" ht="12.75">
      <c r="A164" s="1002"/>
      <c r="B164" s="546"/>
      <c r="C164" s="1039" t="s">
        <v>24</v>
      </c>
      <c r="D164" s="1002" t="s">
        <v>1173</v>
      </c>
      <c r="E164" s="413" t="s">
        <v>25</v>
      </c>
      <c r="F164" s="422">
        <v>0.027</v>
      </c>
      <c r="G164" s="415">
        <f>U131</f>
        <v>1735.8392651707413</v>
      </c>
      <c r="H164" s="1059">
        <f>F164*G164</f>
        <v>46.86766015961002</v>
      </c>
      <c r="I164" s="1002" t="s">
        <v>737</v>
      </c>
      <c r="J164" s="412">
        <v>1</v>
      </c>
      <c r="K164" s="414">
        <v>1</v>
      </c>
      <c r="L164" s="414">
        <f>'Labour Cost'!F8</f>
        <v>31.499999999999996</v>
      </c>
      <c r="M164" s="414">
        <v>1.25</v>
      </c>
      <c r="N164" s="1090">
        <f>J164*K164*L164/M164</f>
        <v>25.199999999999996</v>
      </c>
      <c r="O164" s="1002"/>
      <c r="P164" s="417"/>
      <c r="Q164" s="417"/>
      <c r="R164" s="412"/>
      <c r="S164" s="412"/>
      <c r="T164" s="515"/>
      <c r="U164" s="507"/>
      <c r="V164" s="1005"/>
    </row>
    <row r="165" spans="1:22" ht="12.75">
      <c r="A165" s="1002"/>
      <c r="B165" s="546"/>
      <c r="C165" s="1039"/>
      <c r="D165" s="1002" t="s">
        <v>738</v>
      </c>
      <c r="E165" s="421">
        <v>0.05</v>
      </c>
      <c r="F165" s="414"/>
      <c r="G165" s="415"/>
      <c r="H165" s="1059">
        <f>E165*H164</f>
        <v>2.343383007980501</v>
      </c>
      <c r="I165" s="1002" t="s">
        <v>2424</v>
      </c>
      <c r="J165" s="412">
        <v>2</v>
      </c>
      <c r="K165" s="414">
        <v>1</v>
      </c>
      <c r="L165" s="414">
        <f>'Labour Cost'!F21</f>
        <v>8.75</v>
      </c>
      <c r="M165" s="414">
        <v>1.25</v>
      </c>
      <c r="N165" s="1090">
        <f>J165*K165*L165/M165</f>
        <v>14</v>
      </c>
      <c r="O165" s="1002"/>
      <c r="P165" s="417"/>
      <c r="Q165" s="417"/>
      <c r="R165" s="412"/>
      <c r="S165" s="412"/>
      <c r="T165" s="515"/>
      <c r="U165" s="507"/>
      <c r="V165" s="1005"/>
    </row>
    <row r="166" spans="1:22" ht="12.75">
      <c r="A166" s="1004"/>
      <c r="B166" s="548"/>
      <c r="C166" s="1040"/>
      <c r="D166" s="1004"/>
      <c r="E166" s="521"/>
      <c r="F166" s="522"/>
      <c r="G166" s="527"/>
      <c r="H166" s="1005">
        <f>SUM(H163:H165)</f>
        <v>232.59902466985704</v>
      </c>
      <c r="I166" s="1004"/>
      <c r="J166" s="520"/>
      <c r="K166" s="522"/>
      <c r="L166" s="522"/>
      <c r="M166" s="522"/>
      <c r="N166" s="1005">
        <f>SUM(N163:N165)</f>
        <v>40.86509006410256</v>
      </c>
      <c r="O166" s="1004"/>
      <c r="P166" s="528"/>
      <c r="Q166" s="528"/>
      <c r="R166" s="520"/>
      <c r="S166" s="520"/>
      <c r="T166" s="522">
        <f>SUM(T163:T165)</f>
        <v>0.512</v>
      </c>
      <c r="U166" s="522">
        <f>H166+N166+T166</f>
        <v>273.9761147339596</v>
      </c>
      <c r="V166" s="1005">
        <f>U166*$U$4</f>
        <v>369.41420113170915</v>
      </c>
    </row>
    <row r="167" spans="1:22" ht="12.75">
      <c r="A167" s="1002"/>
      <c r="B167" s="546"/>
      <c r="C167" s="1039"/>
      <c r="D167" s="1002"/>
      <c r="E167" s="413"/>
      <c r="F167" s="414"/>
      <c r="G167" s="415"/>
      <c r="H167" s="1059"/>
      <c r="I167" s="1002"/>
      <c r="J167" s="412"/>
      <c r="K167" s="414"/>
      <c r="L167" s="414"/>
      <c r="M167" s="414"/>
      <c r="N167" s="1090"/>
      <c r="O167" s="1002"/>
      <c r="P167" s="417"/>
      <c r="Q167" s="417"/>
      <c r="R167" s="412"/>
      <c r="S167" s="412"/>
      <c r="T167" s="515"/>
      <c r="U167" s="507"/>
      <c r="V167" s="1005"/>
    </row>
    <row r="168" spans="1:22" ht="12.75">
      <c r="A168" s="1002">
        <v>26</v>
      </c>
      <c r="B168" s="546" t="s">
        <v>739</v>
      </c>
      <c r="C168" s="1039"/>
      <c r="D168" s="1002" t="s">
        <v>1100</v>
      </c>
      <c r="E168" s="413" t="s">
        <v>1561</v>
      </c>
      <c r="F168" s="414">
        <v>13</v>
      </c>
      <c r="G168" s="415">
        <f>V155</f>
        <v>11.359772959109067</v>
      </c>
      <c r="H168" s="1059">
        <f>F168*G168</f>
        <v>147.67704846841787</v>
      </c>
      <c r="I168" s="1002" t="s">
        <v>275</v>
      </c>
      <c r="J168" s="412">
        <v>1</v>
      </c>
      <c r="K168" s="414">
        <v>0.1</v>
      </c>
      <c r="L168" s="414">
        <f>L163</f>
        <v>20.81362580128205</v>
      </c>
      <c r="M168" s="414">
        <v>1.25</v>
      </c>
      <c r="N168" s="1090">
        <f>J168*K168*L168/M168</f>
        <v>1.6650900641025639</v>
      </c>
      <c r="O168" s="1002" t="s">
        <v>277</v>
      </c>
      <c r="P168" s="412">
        <v>2</v>
      </c>
      <c r="Q168" s="412">
        <v>1</v>
      </c>
      <c r="R168" s="412">
        <f>R10</f>
        <v>0.32</v>
      </c>
      <c r="S168" s="412">
        <v>1.25</v>
      </c>
      <c r="T168" s="515">
        <f>P168*Q168*R168/S168</f>
        <v>0.512</v>
      </c>
      <c r="U168" s="507"/>
      <c r="V168" s="1005"/>
    </row>
    <row r="169" spans="1:22" ht="12.75">
      <c r="A169" s="1002"/>
      <c r="B169" s="546"/>
      <c r="C169" s="1039" t="s">
        <v>24</v>
      </c>
      <c r="D169" s="1002" t="s">
        <v>1173</v>
      </c>
      <c r="E169" s="413" t="s">
        <v>25</v>
      </c>
      <c r="F169" s="500">
        <v>0.0203</v>
      </c>
      <c r="G169" s="415">
        <f>G164</f>
        <v>1735.8392651707413</v>
      </c>
      <c r="H169" s="1059">
        <f>F169*G169</f>
        <v>35.23753708296605</v>
      </c>
      <c r="I169" s="1002" t="s">
        <v>737</v>
      </c>
      <c r="J169" s="412">
        <v>1</v>
      </c>
      <c r="K169" s="414">
        <v>1</v>
      </c>
      <c r="L169" s="414">
        <f>L164</f>
        <v>31.499999999999996</v>
      </c>
      <c r="M169" s="414">
        <v>1.25</v>
      </c>
      <c r="N169" s="1090">
        <f>J169*K169*L169/M169</f>
        <v>25.199999999999996</v>
      </c>
      <c r="O169" s="1002"/>
      <c r="P169" s="417"/>
      <c r="Q169" s="417"/>
      <c r="R169" s="412"/>
      <c r="S169" s="412"/>
      <c r="T169" s="515"/>
      <c r="U169" s="507"/>
      <c r="V169" s="1005"/>
    </row>
    <row r="170" spans="1:22" ht="12.75">
      <c r="A170" s="1002"/>
      <c r="B170" s="546"/>
      <c r="C170" s="1039"/>
      <c r="D170" s="1002" t="s">
        <v>738</v>
      </c>
      <c r="E170" s="421">
        <v>0.05</v>
      </c>
      <c r="F170" s="414"/>
      <c r="G170" s="501"/>
      <c r="H170" s="1059">
        <f>H169*E170</f>
        <v>1.7618768541483025</v>
      </c>
      <c r="I170" s="1002" t="s">
        <v>2424</v>
      </c>
      <c r="J170" s="412">
        <v>2</v>
      </c>
      <c r="K170" s="414">
        <v>1</v>
      </c>
      <c r="L170" s="414">
        <f>L165</f>
        <v>8.75</v>
      </c>
      <c r="M170" s="414">
        <v>1.25</v>
      </c>
      <c r="N170" s="1090">
        <f>J170*K170*L170/M170</f>
        <v>14</v>
      </c>
      <c r="O170" s="1002"/>
      <c r="P170" s="417"/>
      <c r="Q170" s="417"/>
      <c r="R170" s="412"/>
      <c r="S170" s="412"/>
      <c r="T170" s="515"/>
      <c r="U170" s="507"/>
      <c r="V170" s="1005"/>
    </row>
    <row r="171" spans="1:22" ht="12.75">
      <c r="A171" s="1004"/>
      <c r="B171" s="548"/>
      <c r="C171" s="1040"/>
      <c r="D171" s="1004"/>
      <c r="E171" s="521"/>
      <c r="F171" s="522"/>
      <c r="G171" s="527"/>
      <c r="H171" s="1005">
        <f>SUM(H168:H170)</f>
        <v>184.67646240553222</v>
      </c>
      <c r="I171" s="1004"/>
      <c r="J171" s="520"/>
      <c r="K171" s="522"/>
      <c r="L171" s="522"/>
      <c r="M171" s="522"/>
      <c r="N171" s="1005">
        <f>SUM(N168:N170)</f>
        <v>40.86509006410256</v>
      </c>
      <c r="O171" s="1004"/>
      <c r="P171" s="528"/>
      <c r="Q171" s="528"/>
      <c r="R171" s="520"/>
      <c r="S171" s="520"/>
      <c r="T171" s="522">
        <f>SUM(T168:T170)</f>
        <v>0.512</v>
      </c>
      <c r="U171" s="522">
        <f>SUM(H171:T171)</f>
        <v>226.05355246963478</v>
      </c>
      <c r="V171" s="1005">
        <f>U171*$U$4</f>
        <v>304.7980754805711</v>
      </c>
    </row>
    <row r="172" spans="1:22" ht="12.75">
      <c r="A172" s="1002"/>
      <c r="B172" s="546"/>
      <c r="C172" s="1039"/>
      <c r="D172" s="1002"/>
      <c r="E172" s="413"/>
      <c r="F172" s="414"/>
      <c r="G172" s="415"/>
      <c r="H172" s="1059"/>
      <c r="I172" s="1002"/>
      <c r="J172" s="412"/>
      <c r="K172" s="414"/>
      <c r="L172" s="414"/>
      <c r="M172" s="414"/>
      <c r="N172" s="1090"/>
      <c r="O172" s="1002"/>
      <c r="P172" s="417"/>
      <c r="Q172" s="417"/>
      <c r="R172" s="412"/>
      <c r="S172" s="412"/>
      <c r="T172" s="515"/>
      <c r="U172" s="507"/>
      <c r="V172" s="1005"/>
    </row>
    <row r="173" spans="1:22" ht="12.75">
      <c r="A173" s="1002">
        <v>27</v>
      </c>
      <c r="B173" s="546" t="s">
        <v>740</v>
      </c>
      <c r="C173" s="1039"/>
      <c r="D173" s="1002" t="s">
        <v>1100</v>
      </c>
      <c r="E173" s="413" t="s">
        <v>1561</v>
      </c>
      <c r="F173" s="414">
        <v>13</v>
      </c>
      <c r="G173" s="415">
        <f>V161</f>
        <v>9.673204526433844</v>
      </c>
      <c r="H173" s="1059">
        <f>F173*G173</f>
        <v>125.75165884363997</v>
      </c>
      <c r="I173" s="1002" t="s">
        <v>275</v>
      </c>
      <c r="J173" s="412">
        <v>1</v>
      </c>
      <c r="K173" s="414">
        <v>0.1</v>
      </c>
      <c r="L173" s="414">
        <f>L168</f>
        <v>20.81362580128205</v>
      </c>
      <c r="M173" s="414">
        <v>1</v>
      </c>
      <c r="N173" s="1090">
        <f>J173*K173*L173/M173</f>
        <v>2.081362580128205</v>
      </c>
      <c r="O173" s="1002" t="s">
        <v>277</v>
      </c>
      <c r="P173" s="412">
        <v>2</v>
      </c>
      <c r="Q173" s="412">
        <v>1</v>
      </c>
      <c r="R173" s="412">
        <f>R10</f>
        <v>0.32</v>
      </c>
      <c r="S173" s="414">
        <v>1</v>
      </c>
      <c r="T173" s="515">
        <f>P173*Q173*R173/S173</f>
        <v>0.64</v>
      </c>
      <c r="U173" s="507"/>
      <c r="V173" s="1005"/>
    </row>
    <row r="174" spans="1:22" ht="12.75">
      <c r="A174" s="1002"/>
      <c r="B174" s="546"/>
      <c r="C174" s="1039" t="s">
        <v>24</v>
      </c>
      <c r="D174" s="1002" t="s">
        <v>1173</v>
      </c>
      <c r="E174" s="413" t="s">
        <v>25</v>
      </c>
      <c r="F174" s="500">
        <v>0.0135</v>
      </c>
      <c r="G174" s="415">
        <f>G169</f>
        <v>1735.8392651707413</v>
      </c>
      <c r="H174" s="1059">
        <f>F174*G174</f>
        <v>23.43383007980501</v>
      </c>
      <c r="I174" s="1002" t="s">
        <v>737</v>
      </c>
      <c r="J174" s="412">
        <v>1</v>
      </c>
      <c r="K174" s="414">
        <v>1</v>
      </c>
      <c r="L174" s="414">
        <f>L169</f>
        <v>31.499999999999996</v>
      </c>
      <c r="M174" s="414">
        <v>1</v>
      </c>
      <c r="N174" s="1090">
        <f>J174*K174*L174/M174</f>
        <v>31.499999999999996</v>
      </c>
      <c r="O174" s="1002"/>
      <c r="P174" s="417"/>
      <c r="Q174" s="417"/>
      <c r="R174" s="412"/>
      <c r="S174" s="412"/>
      <c r="T174" s="515"/>
      <c r="U174" s="507"/>
      <c r="V174" s="1005"/>
    </row>
    <row r="175" spans="1:22" ht="12.75">
      <c r="A175" s="1002"/>
      <c r="B175" s="546"/>
      <c r="C175" s="1039"/>
      <c r="D175" s="1002" t="s">
        <v>738</v>
      </c>
      <c r="E175" s="421">
        <v>0.05</v>
      </c>
      <c r="F175" s="414"/>
      <c r="G175" s="501"/>
      <c r="H175" s="1059">
        <f>H174*E175</f>
        <v>1.1716915039902505</v>
      </c>
      <c r="I175" s="1002" t="s">
        <v>2424</v>
      </c>
      <c r="J175" s="412">
        <v>2</v>
      </c>
      <c r="K175" s="414">
        <v>1</v>
      </c>
      <c r="L175" s="414">
        <f>L170</f>
        <v>8.75</v>
      </c>
      <c r="M175" s="414">
        <v>1</v>
      </c>
      <c r="N175" s="1090">
        <f>J175*K175*L175/M175</f>
        <v>17.5</v>
      </c>
      <c r="O175" s="1002"/>
      <c r="P175" s="417"/>
      <c r="Q175" s="417"/>
      <c r="R175" s="412"/>
      <c r="S175" s="412"/>
      <c r="T175" s="515"/>
      <c r="U175" s="507"/>
      <c r="V175" s="1005"/>
    </row>
    <row r="176" spans="1:22" ht="12.75">
      <c r="A176" s="1004"/>
      <c r="B176" s="548"/>
      <c r="C176" s="1040"/>
      <c r="D176" s="1004"/>
      <c r="E176" s="521"/>
      <c r="F176" s="522"/>
      <c r="G176" s="527"/>
      <c r="H176" s="1005">
        <f>SUM(H173:H175)</f>
        <v>150.35718042743522</v>
      </c>
      <c r="I176" s="1004"/>
      <c r="J176" s="520"/>
      <c r="K176" s="522"/>
      <c r="L176" s="522"/>
      <c r="M176" s="522"/>
      <c r="N176" s="1005">
        <f>SUM(N173:N175)</f>
        <v>51.0813625801282</v>
      </c>
      <c r="O176" s="1004"/>
      <c r="P176" s="528"/>
      <c r="Q176" s="528"/>
      <c r="R176" s="520"/>
      <c r="S176" s="520"/>
      <c r="T176" s="522">
        <f>SUM(T173:T175)</f>
        <v>0.64</v>
      </c>
      <c r="U176" s="522">
        <f>SUM(H176:T176)</f>
        <v>202.0785430075634</v>
      </c>
      <c r="V176" s="1005">
        <f>U176*$U$4</f>
        <v>272.47150213618875</v>
      </c>
    </row>
    <row r="177" spans="1:22" ht="12.75">
      <c r="A177" s="1002"/>
      <c r="B177" s="546"/>
      <c r="C177" s="1039"/>
      <c r="D177" s="1002"/>
      <c r="E177" s="413"/>
      <c r="F177" s="412"/>
      <c r="G177" s="412"/>
      <c r="H177" s="1057"/>
      <c r="I177" s="1002"/>
      <c r="J177" s="412"/>
      <c r="K177" s="414"/>
      <c r="L177" s="412"/>
      <c r="M177" s="412"/>
      <c r="N177" s="1091"/>
      <c r="O177" s="1002"/>
      <c r="P177" s="412"/>
      <c r="Q177" s="412"/>
      <c r="R177" s="412"/>
      <c r="S177" s="412"/>
      <c r="T177" s="514"/>
      <c r="U177" s="507"/>
      <c r="V177" s="1005"/>
    </row>
    <row r="178" spans="1:22" ht="12.75">
      <c r="A178" s="1002">
        <v>28</v>
      </c>
      <c r="B178" s="546" t="s">
        <v>1819</v>
      </c>
      <c r="C178" s="1039"/>
      <c r="D178" s="1002" t="s">
        <v>1820</v>
      </c>
      <c r="E178" s="413" t="s">
        <v>149</v>
      </c>
      <c r="F178" s="412">
        <v>116</v>
      </c>
      <c r="G178" s="414">
        <f>'Material price'!D137</f>
        <v>1.6500000000000001</v>
      </c>
      <c r="H178" s="1059">
        <f>F178*G178</f>
        <v>191.4</v>
      </c>
      <c r="I178" s="1002" t="s">
        <v>1179</v>
      </c>
      <c r="J178" s="412">
        <v>1</v>
      </c>
      <c r="K178" s="414">
        <v>0.2</v>
      </c>
      <c r="L178" s="414">
        <f>'Labour Cost'!F7</f>
        <v>20.81362580128205</v>
      </c>
      <c r="M178" s="418">
        <v>0.4</v>
      </c>
      <c r="N178" s="1090">
        <f>J178*K178*L178/M178</f>
        <v>10.406812900641023</v>
      </c>
      <c r="O178" s="1002" t="s">
        <v>277</v>
      </c>
      <c r="P178" s="417">
        <v>2</v>
      </c>
      <c r="Q178" s="417">
        <v>1</v>
      </c>
      <c r="R178" s="412">
        <f>R10</f>
        <v>0.32</v>
      </c>
      <c r="S178" s="414">
        <v>0.4</v>
      </c>
      <c r="T178" s="515">
        <f>P178*Q178*R178/S178</f>
        <v>1.5999999999999999</v>
      </c>
      <c r="U178" s="507"/>
      <c r="V178" s="1005"/>
    </row>
    <row r="179" spans="1:22" ht="12.75">
      <c r="A179" s="1002"/>
      <c r="B179" s="546" t="s">
        <v>1817</v>
      </c>
      <c r="C179" s="1039" t="s">
        <v>24</v>
      </c>
      <c r="D179" s="1002" t="s">
        <v>1173</v>
      </c>
      <c r="E179" s="413" t="s">
        <v>25</v>
      </c>
      <c r="F179" s="412">
        <v>0.06</v>
      </c>
      <c r="G179" s="414">
        <f>U131</f>
        <v>1735.8392651707413</v>
      </c>
      <c r="H179" s="1059">
        <f>F179*G179</f>
        <v>104.15035591024447</v>
      </c>
      <c r="I179" s="1002" t="s">
        <v>1174</v>
      </c>
      <c r="J179" s="412">
        <v>1</v>
      </c>
      <c r="K179" s="414">
        <v>1</v>
      </c>
      <c r="L179" s="414">
        <f>'Labour Cost'!F8</f>
        <v>31.499999999999996</v>
      </c>
      <c r="M179" s="418">
        <f>M178</f>
        <v>0.4</v>
      </c>
      <c r="N179" s="1090">
        <f>J179*K179*L179/M179</f>
        <v>78.74999999999999</v>
      </c>
      <c r="O179" s="1002"/>
      <c r="P179" s="412"/>
      <c r="Q179" s="412"/>
      <c r="R179" s="412"/>
      <c r="S179" s="412"/>
      <c r="T179" s="514"/>
      <c r="U179" s="507"/>
      <c r="V179" s="1005"/>
    </row>
    <row r="180" spans="1:22" ht="12.75">
      <c r="A180" s="1002"/>
      <c r="B180" s="546"/>
      <c r="C180" s="1039"/>
      <c r="D180" s="1002" t="s">
        <v>1818</v>
      </c>
      <c r="E180" s="421">
        <v>0.05</v>
      </c>
      <c r="F180" s="412"/>
      <c r="G180" s="412"/>
      <c r="H180" s="1059">
        <f>H179*0.05</f>
        <v>5.207517795512224</v>
      </c>
      <c r="I180" s="1002" t="s">
        <v>1168</v>
      </c>
      <c r="J180" s="412">
        <v>2</v>
      </c>
      <c r="K180" s="414">
        <v>1</v>
      </c>
      <c r="L180" s="414">
        <f>'Labour Cost'!F21</f>
        <v>8.75</v>
      </c>
      <c r="M180" s="418">
        <f>M178</f>
        <v>0.4</v>
      </c>
      <c r="N180" s="1090">
        <f>J180*K180*L180/M180</f>
        <v>43.75</v>
      </c>
      <c r="O180" s="1002"/>
      <c r="P180" s="412"/>
      <c r="Q180" s="412"/>
      <c r="R180" s="412"/>
      <c r="S180" s="412"/>
      <c r="T180" s="514"/>
      <c r="U180" s="507"/>
      <c r="V180" s="1005"/>
    </row>
    <row r="181" spans="1:22" ht="12.75">
      <c r="A181" s="1004"/>
      <c r="B181" s="548"/>
      <c r="C181" s="1040"/>
      <c r="D181" s="1004"/>
      <c r="E181" s="521"/>
      <c r="F181" s="520"/>
      <c r="G181" s="520"/>
      <c r="H181" s="1005">
        <f>SUM(H178:H180)</f>
        <v>300.7578737057567</v>
      </c>
      <c r="I181" s="1004"/>
      <c r="J181" s="520"/>
      <c r="K181" s="522"/>
      <c r="L181" s="520"/>
      <c r="M181" s="520"/>
      <c r="N181" s="1005">
        <f>SUM(N178:N180)</f>
        <v>132.906812900641</v>
      </c>
      <c r="O181" s="1004"/>
      <c r="P181" s="520"/>
      <c r="Q181" s="520"/>
      <c r="R181" s="520"/>
      <c r="S181" s="520"/>
      <c r="T181" s="522">
        <f>SUM(T178:T180)</f>
        <v>1.5999999999999999</v>
      </c>
      <c r="U181" s="522">
        <f>H181+N181+T181</f>
        <v>435.26468660639773</v>
      </c>
      <c r="V181" s="1005">
        <f>U181*$U$4</f>
        <v>586.8867679931943</v>
      </c>
    </row>
    <row r="182" spans="1:22" ht="12.75">
      <c r="A182" s="1002"/>
      <c r="B182" s="546"/>
      <c r="C182" s="1039"/>
      <c r="D182" s="1002"/>
      <c r="E182" s="413"/>
      <c r="F182" s="412"/>
      <c r="G182" s="412"/>
      <c r="H182" s="1057"/>
      <c r="I182" s="1002"/>
      <c r="J182" s="412"/>
      <c r="K182" s="414"/>
      <c r="L182" s="412"/>
      <c r="M182" s="412"/>
      <c r="N182" s="1091"/>
      <c r="O182" s="1002"/>
      <c r="P182" s="412"/>
      <c r="Q182" s="412"/>
      <c r="R182" s="412"/>
      <c r="S182" s="412"/>
      <c r="T182" s="514"/>
      <c r="U182" s="507"/>
      <c r="V182" s="1005"/>
    </row>
    <row r="183" spans="1:22" ht="12.75">
      <c r="A183" s="1002">
        <v>29</v>
      </c>
      <c r="B183" s="546" t="s">
        <v>111</v>
      </c>
      <c r="C183" s="1039"/>
      <c r="D183" s="1002" t="s">
        <v>1821</v>
      </c>
      <c r="E183" s="413" t="s">
        <v>149</v>
      </c>
      <c r="F183" s="414">
        <v>58</v>
      </c>
      <c r="G183" s="414">
        <f>'Material price'!D137</f>
        <v>1.6500000000000001</v>
      </c>
      <c r="H183" s="1059">
        <f>F183*G183</f>
        <v>95.7</v>
      </c>
      <c r="I183" s="1002" t="s">
        <v>1179</v>
      </c>
      <c r="J183" s="412">
        <v>1</v>
      </c>
      <c r="K183" s="414">
        <v>0.2</v>
      </c>
      <c r="L183" s="414">
        <f>'Labour Cost'!F7</f>
        <v>20.81362580128205</v>
      </c>
      <c r="M183" s="414">
        <v>0.6</v>
      </c>
      <c r="N183" s="1090">
        <f>J183*K183*L183/M183</f>
        <v>6.937875267094017</v>
      </c>
      <c r="O183" s="1002" t="s">
        <v>277</v>
      </c>
      <c r="P183" s="417">
        <v>2</v>
      </c>
      <c r="Q183" s="417">
        <v>1</v>
      </c>
      <c r="R183" s="412">
        <f>R10</f>
        <v>0.32</v>
      </c>
      <c r="S183" s="414">
        <v>0.6</v>
      </c>
      <c r="T183" s="515">
        <f>P183*Q183*R183/S183</f>
        <v>1.0666666666666667</v>
      </c>
      <c r="U183" s="507"/>
      <c r="V183" s="1005"/>
    </row>
    <row r="184" spans="1:22" ht="12.75">
      <c r="A184" s="1002"/>
      <c r="B184" s="546"/>
      <c r="C184" s="1039" t="s">
        <v>24</v>
      </c>
      <c r="D184" s="1002" t="s">
        <v>1173</v>
      </c>
      <c r="E184" s="413" t="s">
        <v>25</v>
      </c>
      <c r="F184" s="412">
        <v>0.026</v>
      </c>
      <c r="G184" s="414">
        <f>G179</f>
        <v>1735.8392651707413</v>
      </c>
      <c r="H184" s="1057">
        <f>F184*G184</f>
        <v>45.13182089443927</v>
      </c>
      <c r="I184" s="1002" t="s">
        <v>1174</v>
      </c>
      <c r="J184" s="412">
        <v>1</v>
      </c>
      <c r="K184" s="414">
        <v>1</v>
      </c>
      <c r="L184" s="414">
        <f>'Labour Cost'!F8</f>
        <v>31.499999999999996</v>
      </c>
      <c r="M184" s="414">
        <f>M183</f>
        <v>0.6</v>
      </c>
      <c r="N184" s="1090">
        <f>J184*K184*L184/M184</f>
        <v>52.49999999999999</v>
      </c>
      <c r="O184" s="1002"/>
      <c r="P184" s="412"/>
      <c r="Q184" s="412"/>
      <c r="R184" s="412"/>
      <c r="S184" s="412"/>
      <c r="T184" s="514"/>
      <c r="U184" s="507"/>
      <c r="V184" s="1005"/>
    </row>
    <row r="185" spans="1:22" ht="12.75">
      <c r="A185" s="1002"/>
      <c r="B185" s="546"/>
      <c r="C185" s="1039"/>
      <c r="D185" s="1002" t="s">
        <v>1818</v>
      </c>
      <c r="E185" s="421">
        <v>0.05</v>
      </c>
      <c r="F185" s="412"/>
      <c r="G185" s="412"/>
      <c r="H185" s="1057">
        <f>H184*0.05</f>
        <v>2.2565910447219637</v>
      </c>
      <c r="I185" s="1002" t="s">
        <v>1168</v>
      </c>
      <c r="J185" s="412">
        <v>2</v>
      </c>
      <c r="K185" s="414">
        <v>1</v>
      </c>
      <c r="L185" s="414">
        <f>'Labour Cost'!F21</f>
        <v>8.75</v>
      </c>
      <c r="M185" s="414">
        <f>M184</f>
        <v>0.6</v>
      </c>
      <c r="N185" s="1090">
        <f>J185*K185*L185/M185</f>
        <v>29.166666666666668</v>
      </c>
      <c r="O185" s="1002"/>
      <c r="P185" s="412"/>
      <c r="Q185" s="412"/>
      <c r="R185" s="412"/>
      <c r="S185" s="412"/>
      <c r="T185" s="514"/>
      <c r="U185" s="507"/>
      <c r="V185" s="1005"/>
    </row>
    <row r="186" spans="1:22" ht="12.75">
      <c r="A186" s="1004"/>
      <c r="B186" s="548"/>
      <c r="C186" s="1040"/>
      <c r="D186" s="1004"/>
      <c r="E186" s="521"/>
      <c r="F186" s="520"/>
      <c r="G186" s="520"/>
      <c r="H186" s="1005">
        <f>SUM(H183:H185)</f>
        <v>143.08841193916123</v>
      </c>
      <c r="I186" s="1004"/>
      <c r="J186" s="520"/>
      <c r="K186" s="522"/>
      <c r="L186" s="520"/>
      <c r="M186" s="520"/>
      <c r="N186" s="1005">
        <f>SUM(N183:N185)</f>
        <v>88.60454193376067</v>
      </c>
      <c r="O186" s="1004"/>
      <c r="P186" s="520"/>
      <c r="Q186" s="520"/>
      <c r="R186" s="520"/>
      <c r="S186" s="520"/>
      <c r="T186" s="522">
        <f>SUM(T183:T185)</f>
        <v>1.0666666666666667</v>
      </c>
      <c r="U186" s="522">
        <f>H186+N186+T186</f>
        <v>232.75962053958858</v>
      </c>
      <c r="V186" s="1005">
        <f>U186*$U$4</f>
        <v>313.8401658146223</v>
      </c>
    </row>
    <row r="187" spans="1:22" ht="12.75">
      <c r="A187" s="1002"/>
      <c r="B187" s="546"/>
      <c r="C187" s="1039"/>
      <c r="D187" s="1002"/>
      <c r="E187" s="413"/>
      <c r="F187" s="412"/>
      <c r="G187" s="412"/>
      <c r="H187" s="1059"/>
      <c r="I187" s="1002"/>
      <c r="J187" s="412"/>
      <c r="K187" s="414"/>
      <c r="L187" s="412"/>
      <c r="M187" s="412"/>
      <c r="N187" s="1091"/>
      <c r="O187" s="1002"/>
      <c r="P187" s="412"/>
      <c r="Q187" s="412"/>
      <c r="R187" s="412"/>
      <c r="S187" s="412"/>
      <c r="T187" s="515"/>
      <c r="U187" s="508"/>
      <c r="V187" s="694"/>
    </row>
    <row r="188" spans="1:22" ht="12.75">
      <c r="A188" s="1002">
        <v>30</v>
      </c>
      <c r="B188" s="546" t="s">
        <v>112</v>
      </c>
      <c r="C188" s="1039"/>
      <c r="D188" s="1002" t="s">
        <v>1820</v>
      </c>
      <c r="E188" s="413" t="s">
        <v>149</v>
      </c>
      <c r="F188" s="412">
        <v>116</v>
      </c>
      <c r="G188" s="414">
        <f>'[1]Material price'!D68</f>
        <v>0.4</v>
      </c>
      <c r="H188" s="1059">
        <f>F188*G188</f>
        <v>46.400000000000006</v>
      </c>
      <c r="I188" s="1002" t="s">
        <v>1179</v>
      </c>
      <c r="J188" s="412">
        <v>1</v>
      </c>
      <c r="K188" s="414">
        <v>0.2</v>
      </c>
      <c r="L188" s="414">
        <f>'[1]Labour Cost'!E16</f>
        <v>8.875</v>
      </c>
      <c r="M188" s="418">
        <v>0.4</v>
      </c>
      <c r="N188" s="1090">
        <f>J188*K188*L188/M188</f>
        <v>4.4375</v>
      </c>
      <c r="O188" s="1002" t="s">
        <v>277</v>
      </c>
      <c r="P188" s="417">
        <v>2</v>
      </c>
      <c r="Q188" s="417">
        <v>1</v>
      </c>
      <c r="R188" s="412">
        <f>R10</f>
        <v>0.32</v>
      </c>
      <c r="S188" s="414">
        <v>0.4</v>
      </c>
      <c r="T188" s="515">
        <f>P188*Q188*R188/S188</f>
        <v>1.5999999999999999</v>
      </c>
      <c r="U188" s="507"/>
      <c r="V188" s="694"/>
    </row>
    <row r="189" spans="1:22" ht="12.75">
      <c r="A189" s="1002"/>
      <c r="B189" s="546" t="s">
        <v>1822</v>
      </c>
      <c r="C189" s="1039"/>
      <c r="D189" s="1002" t="s">
        <v>1173</v>
      </c>
      <c r="E189" s="413" t="s">
        <v>25</v>
      </c>
      <c r="F189" s="412">
        <v>0.06</v>
      </c>
      <c r="G189" s="414">
        <f>G184</f>
        <v>1735.8392651707413</v>
      </c>
      <c r="H189" s="1057">
        <f>F189*G189</f>
        <v>104.15035591024447</v>
      </c>
      <c r="I189" s="1002" t="s">
        <v>1174</v>
      </c>
      <c r="J189" s="412">
        <v>1</v>
      </c>
      <c r="K189" s="414">
        <v>1</v>
      </c>
      <c r="L189" s="414">
        <f>L179</f>
        <v>31.499999999999996</v>
      </c>
      <c r="M189" s="418">
        <f>M188</f>
        <v>0.4</v>
      </c>
      <c r="N189" s="1090">
        <f>J189*K189*L189/M189</f>
        <v>78.74999999999999</v>
      </c>
      <c r="O189" s="1002"/>
      <c r="P189" s="412"/>
      <c r="Q189" s="412"/>
      <c r="R189" s="412"/>
      <c r="S189" s="412"/>
      <c r="T189" s="514"/>
      <c r="U189" s="507"/>
      <c r="V189" s="694"/>
    </row>
    <row r="190" spans="1:22" ht="12.75">
      <c r="A190" s="1002"/>
      <c r="B190" s="546" t="s">
        <v>1823</v>
      </c>
      <c r="C190" s="1039" t="s">
        <v>24</v>
      </c>
      <c r="D190" s="1002" t="s">
        <v>1818</v>
      </c>
      <c r="E190" s="421">
        <v>0.05</v>
      </c>
      <c r="F190" s="412"/>
      <c r="G190" s="412"/>
      <c r="H190" s="1057">
        <f>H189*0.05</f>
        <v>5.207517795512224</v>
      </c>
      <c r="I190" s="1002" t="s">
        <v>1168</v>
      </c>
      <c r="J190" s="412">
        <v>2</v>
      </c>
      <c r="K190" s="414">
        <v>1</v>
      </c>
      <c r="L190" s="414">
        <f>L185</f>
        <v>8.75</v>
      </c>
      <c r="M190" s="418">
        <f>M188</f>
        <v>0.4</v>
      </c>
      <c r="N190" s="1090">
        <f>J190*K190*L190/M190</f>
        <v>43.75</v>
      </c>
      <c r="O190" s="1002"/>
      <c r="P190" s="412"/>
      <c r="Q190" s="412"/>
      <c r="R190" s="412"/>
      <c r="S190" s="412"/>
      <c r="T190" s="514"/>
      <c r="U190" s="507"/>
      <c r="V190" s="694"/>
    </row>
    <row r="191" spans="1:22" ht="12.75">
      <c r="A191" s="1004"/>
      <c r="B191" s="548"/>
      <c r="C191" s="1040"/>
      <c r="D191" s="1004"/>
      <c r="E191" s="521"/>
      <c r="F191" s="520"/>
      <c r="G191" s="520"/>
      <c r="H191" s="1005">
        <f>SUM(H188:H190)</f>
        <v>155.7578737057567</v>
      </c>
      <c r="I191" s="1004"/>
      <c r="J191" s="520"/>
      <c r="K191" s="522"/>
      <c r="L191" s="520"/>
      <c r="M191" s="520"/>
      <c r="N191" s="1005">
        <f>SUM(N188:N190)</f>
        <v>126.93749999999999</v>
      </c>
      <c r="O191" s="1004"/>
      <c r="P191" s="520"/>
      <c r="Q191" s="520"/>
      <c r="R191" s="520"/>
      <c r="S191" s="520"/>
      <c r="T191" s="522">
        <f>SUM(T188:T190)</f>
        <v>1.5999999999999999</v>
      </c>
      <c r="U191" s="522">
        <f>T191+N191+H191</f>
        <v>284.2953737057567</v>
      </c>
      <c r="V191" s="1005">
        <f>U191*$U$4</f>
        <v>383.3281177263703</v>
      </c>
    </row>
    <row r="192" spans="1:22" ht="12.75">
      <c r="A192" s="1002"/>
      <c r="B192" s="546"/>
      <c r="C192" s="1039"/>
      <c r="D192" s="1002"/>
      <c r="E192" s="413"/>
      <c r="F192" s="412"/>
      <c r="G192" s="412"/>
      <c r="H192" s="1057"/>
      <c r="I192" s="1002"/>
      <c r="J192" s="412"/>
      <c r="K192" s="414"/>
      <c r="L192" s="412"/>
      <c r="M192" s="412"/>
      <c r="N192" s="1091"/>
      <c r="O192" s="1002"/>
      <c r="P192" s="412"/>
      <c r="Q192" s="412"/>
      <c r="R192" s="412"/>
      <c r="S192" s="412"/>
      <c r="T192" s="514"/>
      <c r="U192" s="507"/>
      <c r="V192" s="694"/>
    </row>
    <row r="193" spans="1:22" ht="12.75">
      <c r="A193" s="1002">
        <v>31</v>
      </c>
      <c r="B193" s="546" t="s">
        <v>111</v>
      </c>
      <c r="C193" s="1039"/>
      <c r="D193" s="1002" t="s">
        <v>1821</v>
      </c>
      <c r="E193" s="413" t="s">
        <v>149</v>
      </c>
      <c r="F193" s="414">
        <v>58</v>
      </c>
      <c r="G193" s="414">
        <f>'[1]Material price'!D68</f>
        <v>0.4</v>
      </c>
      <c r="H193" s="1059">
        <f>F193*G193</f>
        <v>23.200000000000003</v>
      </c>
      <c r="I193" s="1002" t="s">
        <v>413</v>
      </c>
      <c r="J193" s="412">
        <v>1</v>
      </c>
      <c r="K193" s="414">
        <v>0.2</v>
      </c>
      <c r="L193" s="414">
        <f>'[1]Labour Cost'!E16</f>
        <v>8.875</v>
      </c>
      <c r="M193" s="414">
        <v>0.6</v>
      </c>
      <c r="N193" s="1090">
        <f>J193*K193*L193/M193</f>
        <v>2.9583333333333335</v>
      </c>
      <c r="O193" s="1002" t="s">
        <v>277</v>
      </c>
      <c r="P193" s="417">
        <v>2</v>
      </c>
      <c r="Q193" s="417">
        <v>1</v>
      </c>
      <c r="R193" s="412">
        <f>R10</f>
        <v>0.32</v>
      </c>
      <c r="S193" s="414">
        <v>0.6</v>
      </c>
      <c r="T193" s="515">
        <f>P193*Q193*R193/S193</f>
        <v>1.0666666666666667</v>
      </c>
      <c r="U193" s="507"/>
      <c r="V193" s="694"/>
    </row>
    <row r="194" spans="1:22" ht="12.75">
      <c r="A194" s="1002"/>
      <c r="B194" s="546" t="s">
        <v>1822</v>
      </c>
      <c r="C194" s="1039"/>
      <c r="D194" s="1002" t="s">
        <v>1173</v>
      </c>
      <c r="E194" s="413" t="s">
        <v>25</v>
      </c>
      <c r="F194" s="412">
        <v>0.026</v>
      </c>
      <c r="G194" s="414">
        <f>G189</f>
        <v>1735.8392651707413</v>
      </c>
      <c r="H194" s="1059">
        <f>F194*G194</f>
        <v>45.13182089443927</v>
      </c>
      <c r="I194" s="1002" t="s">
        <v>1174</v>
      </c>
      <c r="J194" s="412">
        <v>1</v>
      </c>
      <c r="K194" s="414">
        <v>1</v>
      </c>
      <c r="L194" s="414">
        <f>L184</f>
        <v>31.499999999999996</v>
      </c>
      <c r="M194" s="414">
        <f>M193</f>
        <v>0.6</v>
      </c>
      <c r="N194" s="1090">
        <f>J194*K194*L194/M194</f>
        <v>52.49999999999999</v>
      </c>
      <c r="O194" s="1002"/>
      <c r="P194" s="412"/>
      <c r="Q194" s="412"/>
      <c r="R194" s="412"/>
      <c r="S194" s="412"/>
      <c r="T194" s="514"/>
      <c r="U194" s="507"/>
      <c r="V194" s="694"/>
    </row>
    <row r="195" spans="1:22" ht="12.75">
      <c r="A195" s="1002"/>
      <c r="B195" s="546" t="s">
        <v>1823</v>
      </c>
      <c r="C195" s="1039" t="s">
        <v>24</v>
      </c>
      <c r="D195" s="1002" t="s">
        <v>1818</v>
      </c>
      <c r="E195" s="421">
        <v>0.05</v>
      </c>
      <c r="F195" s="412"/>
      <c r="G195" s="412"/>
      <c r="H195" s="1059">
        <f>H194*0.05</f>
        <v>2.2565910447219637</v>
      </c>
      <c r="I195" s="1002" t="s">
        <v>1168</v>
      </c>
      <c r="J195" s="412">
        <v>2</v>
      </c>
      <c r="K195" s="414">
        <v>1</v>
      </c>
      <c r="L195" s="414">
        <f>L185</f>
        <v>8.75</v>
      </c>
      <c r="M195" s="414">
        <f>M194</f>
        <v>0.6</v>
      </c>
      <c r="N195" s="1091">
        <f>J195*K195*L195/M195</f>
        <v>29.166666666666668</v>
      </c>
      <c r="O195" s="1002"/>
      <c r="P195" s="412"/>
      <c r="Q195" s="412"/>
      <c r="R195" s="412"/>
      <c r="S195" s="412"/>
      <c r="T195" s="514"/>
      <c r="U195" s="507"/>
      <c r="V195" s="694"/>
    </row>
    <row r="196" spans="1:22" ht="12.75">
      <c r="A196" s="1004"/>
      <c r="B196" s="548"/>
      <c r="C196" s="1040"/>
      <c r="D196" s="1004"/>
      <c r="E196" s="521"/>
      <c r="F196" s="520"/>
      <c r="G196" s="520"/>
      <c r="H196" s="1005">
        <f>SUM(H193:H195)</f>
        <v>70.58841193916123</v>
      </c>
      <c r="I196" s="1004"/>
      <c r="J196" s="520"/>
      <c r="K196" s="522"/>
      <c r="L196" s="520"/>
      <c r="M196" s="520"/>
      <c r="N196" s="1005">
        <f>SUM(N193:N195)</f>
        <v>84.625</v>
      </c>
      <c r="O196" s="1004"/>
      <c r="P196" s="520"/>
      <c r="Q196" s="520"/>
      <c r="R196" s="520"/>
      <c r="S196" s="520"/>
      <c r="T196" s="522">
        <f>SUM(T193:T195)</f>
        <v>1.0666666666666667</v>
      </c>
      <c r="U196" s="522">
        <f>T196+N196+H196</f>
        <v>156.2800786058279</v>
      </c>
      <c r="V196" s="1005">
        <f>U196*$U$4</f>
        <v>210.71939226173964</v>
      </c>
    </row>
    <row r="197" spans="1:22" ht="12.75">
      <c r="A197" s="1002"/>
      <c r="B197" s="546"/>
      <c r="C197" s="1039"/>
      <c r="D197" s="1002"/>
      <c r="E197" s="413"/>
      <c r="F197" s="412"/>
      <c r="G197" s="412"/>
      <c r="H197" s="1059"/>
      <c r="I197" s="1002"/>
      <c r="J197" s="412"/>
      <c r="K197" s="414"/>
      <c r="L197" s="412"/>
      <c r="M197" s="412"/>
      <c r="N197" s="1091"/>
      <c r="O197" s="1002"/>
      <c r="P197" s="412"/>
      <c r="Q197" s="412"/>
      <c r="R197" s="412"/>
      <c r="S197" s="412"/>
      <c r="T197" s="515"/>
      <c r="U197" s="508"/>
      <c r="V197" s="694"/>
    </row>
    <row r="198" spans="1:22" ht="12.75">
      <c r="A198" s="1002">
        <v>32</v>
      </c>
      <c r="B198" s="546" t="s">
        <v>2371</v>
      </c>
      <c r="C198" s="1039" t="s">
        <v>24</v>
      </c>
      <c r="D198" s="1002" t="s">
        <v>2371</v>
      </c>
      <c r="E198" s="413" t="s">
        <v>24</v>
      </c>
      <c r="F198" s="414">
        <v>1.05</v>
      </c>
      <c r="G198" s="415">
        <f>'[1]Material price'!D65</f>
        <v>58</v>
      </c>
      <c r="H198" s="1059">
        <f>F198*G198</f>
        <v>60.900000000000006</v>
      </c>
      <c r="I198" s="1002" t="s">
        <v>1824</v>
      </c>
      <c r="J198" s="412">
        <v>1</v>
      </c>
      <c r="K198" s="414">
        <v>0.2</v>
      </c>
      <c r="L198" s="414">
        <f>'Labour Cost'!F7</f>
        <v>20.81362580128205</v>
      </c>
      <c r="M198" s="414">
        <v>4</v>
      </c>
      <c r="N198" s="1090">
        <f>J198*K198*L198/M198</f>
        <v>1.0406812900641025</v>
      </c>
      <c r="O198" s="1002" t="s">
        <v>277</v>
      </c>
      <c r="P198" s="417">
        <v>2</v>
      </c>
      <c r="Q198" s="417">
        <v>1</v>
      </c>
      <c r="R198" s="412">
        <f>R10</f>
        <v>0.32</v>
      </c>
      <c r="S198" s="414">
        <v>4</v>
      </c>
      <c r="T198" s="515">
        <f>P198*Q198*R198/S198</f>
        <v>0.16</v>
      </c>
      <c r="U198" s="507"/>
      <c r="V198" s="694"/>
    </row>
    <row r="199" spans="1:22" ht="12.75">
      <c r="A199" s="1002"/>
      <c r="B199" s="546"/>
      <c r="C199" s="1039"/>
      <c r="D199" s="1002" t="s">
        <v>1825</v>
      </c>
      <c r="E199" s="413"/>
      <c r="F199" s="414"/>
      <c r="G199" s="418"/>
      <c r="H199" s="1059"/>
      <c r="I199" s="1002" t="s">
        <v>1853</v>
      </c>
      <c r="J199" s="412">
        <v>1</v>
      </c>
      <c r="K199" s="414">
        <v>1</v>
      </c>
      <c r="L199" s="414">
        <f>'Labour Cost'!F8</f>
        <v>31.499999999999996</v>
      </c>
      <c r="M199" s="414">
        <v>4</v>
      </c>
      <c r="N199" s="1090">
        <f>J199*K199*L199/M199</f>
        <v>7.874999999999999</v>
      </c>
      <c r="O199" s="1002"/>
      <c r="P199" s="412"/>
      <c r="Q199" s="412"/>
      <c r="R199" s="412"/>
      <c r="S199" s="412"/>
      <c r="T199" s="514"/>
      <c r="U199" s="507"/>
      <c r="V199" s="694"/>
    </row>
    <row r="200" spans="1:22" ht="12.75">
      <c r="A200" s="1002"/>
      <c r="B200" s="546"/>
      <c r="C200" s="1039"/>
      <c r="D200" s="1002" t="s">
        <v>1826</v>
      </c>
      <c r="E200" s="421"/>
      <c r="F200" s="412"/>
      <c r="G200" s="412"/>
      <c r="H200" s="1059"/>
      <c r="I200" s="1002" t="s">
        <v>1168</v>
      </c>
      <c r="J200" s="412">
        <v>2</v>
      </c>
      <c r="K200" s="414">
        <v>1</v>
      </c>
      <c r="L200" s="414">
        <f>'Labour Cost'!F21</f>
        <v>8.75</v>
      </c>
      <c r="M200" s="414">
        <v>4</v>
      </c>
      <c r="N200" s="1090">
        <f>J200*K200*L200/M200</f>
        <v>4.375</v>
      </c>
      <c r="O200" s="1002"/>
      <c r="P200" s="412"/>
      <c r="Q200" s="412"/>
      <c r="R200" s="412"/>
      <c r="S200" s="412"/>
      <c r="T200" s="514"/>
      <c r="U200" s="508"/>
      <c r="V200" s="694"/>
    </row>
    <row r="201" spans="1:22" ht="12.75">
      <c r="A201" s="1004"/>
      <c r="B201" s="548"/>
      <c r="C201" s="1040"/>
      <c r="D201" s="1004"/>
      <c r="E201" s="521"/>
      <c r="F201" s="520"/>
      <c r="G201" s="520"/>
      <c r="H201" s="1005">
        <f>SUM(H198:H200)</f>
        <v>60.900000000000006</v>
      </c>
      <c r="I201" s="1004"/>
      <c r="J201" s="520"/>
      <c r="K201" s="522"/>
      <c r="L201" s="520"/>
      <c r="M201" s="520"/>
      <c r="N201" s="1005">
        <f>SUM(N198:N200)</f>
        <v>13.290681290064102</v>
      </c>
      <c r="O201" s="1004"/>
      <c r="P201" s="520"/>
      <c r="Q201" s="520"/>
      <c r="R201" s="520"/>
      <c r="S201" s="520"/>
      <c r="T201" s="522">
        <f>SUM(T198:T200)</f>
        <v>0.16</v>
      </c>
      <c r="U201" s="522">
        <f>H201+N201+T201</f>
        <v>74.3506812900641</v>
      </c>
      <c r="V201" s="1005">
        <f>U201*$U$4</f>
        <v>100.2503359062449</v>
      </c>
    </row>
    <row r="202" spans="1:22" ht="12.75">
      <c r="A202" s="1002"/>
      <c r="B202" s="546"/>
      <c r="C202" s="1039"/>
      <c r="D202" s="1002"/>
      <c r="E202" s="413"/>
      <c r="F202" s="412"/>
      <c r="G202" s="412"/>
      <c r="H202" s="1059"/>
      <c r="I202" s="1002"/>
      <c r="J202" s="412"/>
      <c r="K202" s="414"/>
      <c r="L202" s="412"/>
      <c r="M202" s="412"/>
      <c r="N202" s="1091"/>
      <c r="O202" s="1002"/>
      <c r="P202" s="412"/>
      <c r="Q202" s="412"/>
      <c r="R202" s="412"/>
      <c r="S202" s="412"/>
      <c r="T202" s="515"/>
      <c r="U202" s="508"/>
      <c r="V202" s="694"/>
    </row>
    <row r="203" spans="1:22" ht="12.75">
      <c r="A203" s="1002">
        <v>33</v>
      </c>
      <c r="B203" s="546" t="s">
        <v>2372</v>
      </c>
      <c r="C203" s="1039"/>
      <c r="D203" s="1002" t="s">
        <v>2372</v>
      </c>
      <c r="E203" s="413" t="s">
        <v>149</v>
      </c>
      <c r="F203" s="412">
        <v>42</v>
      </c>
      <c r="G203" s="414">
        <f>'Material price'!D219</f>
        <v>5.85</v>
      </c>
      <c r="H203" s="1059">
        <f>F203*G203</f>
        <v>245.7</v>
      </c>
      <c r="I203" s="1002" t="s">
        <v>1179</v>
      </c>
      <c r="J203" s="412">
        <v>1</v>
      </c>
      <c r="K203" s="414">
        <v>0.2</v>
      </c>
      <c r="L203" s="414">
        <f>'Labour Cost'!F7</f>
        <v>20.81362580128205</v>
      </c>
      <c r="M203" s="414">
        <v>3</v>
      </c>
      <c r="N203" s="1090">
        <f>J203*K203*L203/M203</f>
        <v>1.3875750534188034</v>
      </c>
      <c r="O203" s="1002" t="s">
        <v>277</v>
      </c>
      <c r="P203" s="417">
        <v>2</v>
      </c>
      <c r="Q203" s="417">
        <v>1</v>
      </c>
      <c r="R203" s="412">
        <f>R10</f>
        <v>0.32</v>
      </c>
      <c r="S203" s="414">
        <v>3</v>
      </c>
      <c r="T203" s="515">
        <f>P203*Q203*R203/S203</f>
        <v>0.21333333333333335</v>
      </c>
      <c r="U203" s="507"/>
      <c r="V203" s="694"/>
    </row>
    <row r="204" spans="1:22" ht="12.75">
      <c r="A204" s="1002"/>
      <c r="B204" s="546" t="s">
        <v>1817</v>
      </c>
      <c r="C204" s="1039" t="s">
        <v>24</v>
      </c>
      <c r="D204" s="1002" t="s">
        <v>1827</v>
      </c>
      <c r="E204" s="413"/>
      <c r="F204" s="412"/>
      <c r="G204" s="418"/>
      <c r="H204" s="1057"/>
      <c r="I204" s="1002" t="s">
        <v>1174</v>
      </c>
      <c r="J204" s="412">
        <v>1</v>
      </c>
      <c r="K204" s="414">
        <v>1</v>
      </c>
      <c r="L204" s="414">
        <f>'Labour Cost'!F8</f>
        <v>31.499999999999996</v>
      </c>
      <c r="M204" s="414">
        <v>3</v>
      </c>
      <c r="N204" s="1090">
        <f>J204*K204*L204/M204</f>
        <v>10.499999999999998</v>
      </c>
      <c r="O204" s="1002"/>
      <c r="P204" s="412"/>
      <c r="Q204" s="412"/>
      <c r="R204" s="412"/>
      <c r="S204" s="412"/>
      <c r="T204" s="514"/>
      <c r="U204" s="507"/>
      <c r="V204" s="694"/>
    </row>
    <row r="205" spans="1:22" ht="12.75">
      <c r="A205" s="1002"/>
      <c r="B205" s="546"/>
      <c r="C205" s="1039"/>
      <c r="D205" s="1002"/>
      <c r="E205" s="421"/>
      <c r="F205" s="412"/>
      <c r="G205" s="412"/>
      <c r="H205" s="1057"/>
      <c r="I205" s="1002" t="s">
        <v>1168</v>
      </c>
      <c r="J205" s="412">
        <v>2</v>
      </c>
      <c r="K205" s="414">
        <v>1</v>
      </c>
      <c r="L205" s="414">
        <f>'Labour Cost'!F21</f>
        <v>8.75</v>
      </c>
      <c r="M205" s="414">
        <v>3</v>
      </c>
      <c r="N205" s="1090">
        <f>J205*K205*L205/M205</f>
        <v>5.833333333333333</v>
      </c>
      <c r="O205" s="1002"/>
      <c r="P205" s="412"/>
      <c r="Q205" s="412"/>
      <c r="R205" s="412"/>
      <c r="S205" s="412"/>
      <c r="T205" s="514"/>
      <c r="U205" s="507"/>
      <c r="V205" s="694"/>
    </row>
    <row r="206" spans="1:22" ht="12.75">
      <c r="A206" s="1004"/>
      <c r="B206" s="548"/>
      <c r="C206" s="1040"/>
      <c r="D206" s="1004"/>
      <c r="E206" s="521"/>
      <c r="F206" s="520"/>
      <c r="G206" s="520"/>
      <c r="H206" s="1005">
        <f>SUM(H203:H205)</f>
        <v>245.7</v>
      </c>
      <c r="I206" s="1004"/>
      <c r="J206" s="520"/>
      <c r="K206" s="522"/>
      <c r="L206" s="520"/>
      <c r="M206" s="520"/>
      <c r="N206" s="1005">
        <f>SUM(N203:N205)</f>
        <v>17.720908386752136</v>
      </c>
      <c r="O206" s="1004"/>
      <c r="P206" s="520"/>
      <c r="Q206" s="520"/>
      <c r="R206" s="520"/>
      <c r="S206" s="520"/>
      <c r="T206" s="522">
        <f>SUM(T203:T205)</f>
        <v>0.21333333333333335</v>
      </c>
      <c r="U206" s="522">
        <f>T206+N206+H206</f>
        <v>263.63424172008547</v>
      </c>
      <c r="V206" s="1005">
        <f>U206*$U$4</f>
        <v>355.4697930166599</v>
      </c>
    </row>
    <row r="207" spans="1:22" ht="12.75">
      <c r="A207" s="1002"/>
      <c r="B207" s="546"/>
      <c r="C207" s="1039"/>
      <c r="D207" s="1002"/>
      <c r="E207" s="413"/>
      <c r="F207" s="412"/>
      <c r="G207" s="412"/>
      <c r="H207" s="1059"/>
      <c r="I207" s="1002"/>
      <c r="J207" s="412"/>
      <c r="K207" s="414"/>
      <c r="L207" s="412"/>
      <c r="M207" s="412"/>
      <c r="N207" s="1090"/>
      <c r="O207" s="1002"/>
      <c r="P207" s="412"/>
      <c r="Q207" s="412"/>
      <c r="R207" s="412"/>
      <c r="S207" s="412"/>
      <c r="T207" s="515"/>
      <c r="U207" s="508"/>
      <c r="V207" s="694"/>
    </row>
    <row r="208" spans="1:22" ht="12.75">
      <c r="A208" s="1002">
        <v>34</v>
      </c>
      <c r="B208" s="546" t="s">
        <v>2374</v>
      </c>
      <c r="C208" s="1039"/>
      <c r="D208" s="1002" t="s">
        <v>1828</v>
      </c>
      <c r="E208" s="413" t="s">
        <v>149</v>
      </c>
      <c r="F208" s="412">
        <v>42</v>
      </c>
      <c r="G208" s="414">
        <f>'[1]Material price'!D67</f>
        <v>1.35</v>
      </c>
      <c r="H208" s="1059">
        <f>F208*G208</f>
        <v>56.7</v>
      </c>
      <c r="I208" s="1002" t="s">
        <v>1179</v>
      </c>
      <c r="J208" s="412">
        <v>1</v>
      </c>
      <c r="K208" s="414">
        <v>0.2</v>
      </c>
      <c r="L208" s="414">
        <f>L198</f>
        <v>20.81362580128205</v>
      </c>
      <c r="M208" s="414">
        <v>1.5</v>
      </c>
      <c r="N208" s="1090">
        <f>J208*K208*L208/M208</f>
        <v>2.7751501068376068</v>
      </c>
      <c r="O208" s="1002" t="s">
        <v>277</v>
      </c>
      <c r="P208" s="417">
        <v>2</v>
      </c>
      <c r="Q208" s="417">
        <v>1</v>
      </c>
      <c r="R208" s="412">
        <f>R10</f>
        <v>0.32</v>
      </c>
      <c r="S208" s="414">
        <v>1.5</v>
      </c>
      <c r="T208" s="515">
        <f>P208*R208/S208</f>
        <v>0.4266666666666667</v>
      </c>
      <c r="U208" s="507"/>
      <c r="V208" s="694"/>
    </row>
    <row r="209" spans="1:22" ht="12.75">
      <c r="A209" s="1002"/>
      <c r="B209" s="546"/>
      <c r="C209" s="1039" t="s">
        <v>24</v>
      </c>
      <c r="D209" s="1002"/>
      <c r="E209" s="413"/>
      <c r="F209" s="412"/>
      <c r="G209" s="418"/>
      <c r="H209" s="1057"/>
      <c r="I209" s="1002" t="s">
        <v>1174</v>
      </c>
      <c r="J209" s="412">
        <v>1</v>
      </c>
      <c r="K209" s="414">
        <v>1</v>
      </c>
      <c r="L209" s="414">
        <f>L199</f>
        <v>31.499999999999996</v>
      </c>
      <c r="M209" s="414">
        <v>1.5</v>
      </c>
      <c r="N209" s="1090">
        <f>J209*K209*L209/M209</f>
        <v>20.999999999999996</v>
      </c>
      <c r="O209" s="1002"/>
      <c r="P209" s="412"/>
      <c r="Q209" s="412"/>
      <c r="R209" s="412"/>
      <c r="S209" s="412"/>
      <c r="T209" s="514"/>
      <c r="U209" s="507"/>
      <c r="V209" s="694"/>
    </row>
    <row r="210" spans="1:22" ht="12.75">
      <c r="A210" s="1002"/>
      <c r="B210" s="546"/>
      <c r="C210" s="1039"/>
      <c r="D210" s="1002"/>
      <c r="E210" s="421"/>
      <c r="F210" s="412"/>
      <c r="G210" s="412"/>
      <c r="H210" s="1057"/>
      <c r="I210" s="1002" t="s">
        <v>1168</v>
      </c>
      <c r="J210" s="412">
        <v>2</v>
      </c>
      <c r="K210" s="414">
        <v>1</v>
      </c>
      <c r="L210" s="414">
        <f>L205</f>
        <v>8.75</v>
      </c>
      <c r="M210" s="414">
        <v>1.5</v>
      </c>
      <c r="N210" s="1090">
        <f>J210*K210*L210/M210</f>
        <v>11.666666666666666</v>
      </c>
      <c r="O210" s="1002"/>
      <c r="P210" s="412"/>
      <c r="Q210" s="412"/>
      <c r="R210" s="412"/>
      <c r="S210" s="412"/>
      <c r="T210" s="514"/>
      <c r="U210" s="507"/>
      <c r="V210" s="694"/>
    </row>
    <row r="211" spans="1:22" ht="12.75">
      <c r="A211" s="1004"/>
      <c r="B211" s="548"/>
      <c r="C211" s="1040"/>
      <c r="D211" s="1004"/>
      <c r="E211" s="521"/>
      <c r="F211" s="520"/>
      <c r="G211" s="520"/>
      <c r="H211" s="1005">
        <f>SUM(H208:H210)</f>
        <v>56.7</v>
      </c>
      <c r="I211" s="1004"/>
      <c r="J211" s="520"/>
      <c r="K211" s="522"/>
      <c r="L211" s="520"/>
      <c r="M211" s="520"/>
      <c r="N211" s="1005">
        <f>SUM(N208:N210)</f>
        <v>35.44181677350427</v>
      </c>
      <c r="O211" s="1004"/>
      <c r="P211" s="520"/>
      <c r="Q211" s="520"/>
      <c r="R211" s="520"/>
      <c r="S211" s="520"/>
      <c r="T211" s="522">
        <f>SUM(T208:T210)</f>
        <v>0.4266666666666667</v>
      </c>
      <c r="U211" s="522">
        <f>T211+N211+H211</f>
        <v>92.56848344017095</v>
      </c>
      <c r="V211" s="1005">
        <f>U211*$U$4</f>
        <v>124.81421014831975</v>
      </c>
    </row>
    <row r="212" spans="1:22" ht="12.75">
      <c r="A212" s="1002"/>
      <c r="B212" s="546"/>
      <c r="C212" s="1039"/>
      <c r="D212" s="1002"/>
      <c r="E212" s="413"/>
      <c r="F212" s="412"/>
      <c r="G212" s="412"/>
      <c r="H212" s="1059"/>
      <c r="I212" s="1002"/>
      <c r="J212" s="412"/>
      <c r="K212" s="414"/>
      <c r="L212" s="412"/>
      <c r="M212" s="412"/>
      <c r="N212" s="1091"/>
      <c r="O212" s="1002"/>
      <c r="P212" s="412"/>
      <c r="Q212" s="412"/>
      <c r="R212" s="412"/>
      <c r="S212" s="412"/>
      <c r="T212" s="514"/>
      <c r="U212" s="507"/>
      <c r="V212" s="694"/>
    </row>
    <row r="213" spans="1:22" ht="19.5" customHeight="1">
      <c r="A213" s="1002"/>
      <c r="B213" s="1320" t="s">
        <v>1829</v>
      </c>
      <c r="C213" s="1321"/>
      <c r="D213" s="1323"/>
      <c r="E213" s="1324"/>
      <c r="F213" s="1324"/>
      <c r="G213" s="1324"/>
      <c r="H213" s="1061"/>
      <c r="I213" s="1002"/>
      <c r="J213" s="412"/>
      <c r="K213" s="414"/>
      <c r="L213" s="412"/>
      <c r="M213" s="412"/>
      <c r="N213" s="1091"/>
      <c r="O213" s="1002"/>
      <c r="P213" s="412"/>
      <c r="Q213" s="412"/>
      <c r="R213" s="412"/>
      <c r="S213" s="412"/>
      <c r="T213" s="514"/>
      <c r="U213" s="507"/>
      <c r="V213" s="694"/>
    </row>
    <row r="214" spans="1:22" ht="12.75">
      <c r="A214" s="1002">
        <v>35</v>
      </c>
      <c r="B214" s="546" t="s">
        <v>1830</v>
      </c>
      <c r="C214" s="1039" t="s">
        <v>24</v>
      </c>
      <c r="D214" s="1002" t="s">
        <v>1832</v>
      </c>
      <c r="E214" s="413" t="s">
        <v>24</v>
      </c>
      <c r="F214" s="414">
        <v>1.1</v>
      </c>
      <c r="G214" s="414">
        <v>66</v>
      </c>
      <c r="H214" s="1059">
        <f>F214*G214</f>
        <v>72.60000000000001</v>
      </c>
      <c r="I214" s="1002" t="s">
        <v>1831</v>
      </c>
      <c r="J214" s="412">
        <v>1</v>
      </c>
      <c r="K214" s="414">
        <v>1</v>
      </c>
      <c r="L214" s="414">
        <f>'Labour Cost'!F10</f>
        <v>31.499999999999996</v>
      </c>
      <c r="M214" s="414">
        <v>2.5</v>
      </c>
      <c r="N214" s="1090">
        <f>J214*K214*L214/M214</f>
        <v>12.599999999999998</v>
      </c>
      <c r="O214" s="1002" t="s">
        <v>277</v>
      </c>
      <c r="P214" s="417">
        <v>3</v>
      </c>
      <c r="Q214" s="417">
        <v>1</v>
      </c>
      <c r="R214" s="412">
        <f>R10</f>
        <v>0.32</v>
      </c>
      <c r="S214" s="414">
        <v>2.5</v>
      </c>
      <c r="T214" s="515">
        <f>P214*Q214*R214/2.5</f>
        <v>0.384</v>
      </c>
      <c r="U214" s="507"/>
      <c r="V214" s="694"/>
    </row>
    <row r="215" spans="1:22" ht="12.75">
      <c r="A215" s="1002"/>
      <c r="B215" s="546" t="s">
        <v>1832</v>
      </c>
      <c r="C215" s="1039"/>
      <c r="D215" s="1002" t="s">
        <v>1159</v>
      </c>
      <c r="E215" s="413" t="s">
        <v>149</v>
      </c>
      <c r="F215" s="414">
        <v>15</v>
      </c>
      <c r="G215" s="414">
        <v>0.2</v>
      </c>
      <c r="H215" s="1059">
        <f>F215*G215</f>
        <v>3</v>
      </c>
      <c r="I215" s="1002" t="s">
        <v>1149</v>
      </c>
      <c r="J215" s="412">
        <v>1</v>
      </c>
      <c r="K215" s="414">
        <v>1</v>
      </c>
      <c r="L215" s="415">
        <f>'Labour Cost'!F11</f>
        <v>26.25</v>
      </c>
      <c r="M215" s="414">
        <v>2.5</v>
      </c>
      <c r="N215" s="1090">
        <f>J215*K215*L215/M215</f>
        <v>10.5</v>
      </c>
      <c r="O215" s="1002"/>
      <c r="P215" s="412"/>
      <c r="Q215" s="412"/>
      <c r="R215" s="412"/>
      <c r="S215" s="412"/>
      <c r="T215" s="514"/>
      <c r="U215" s="507"/>
      <c r="V215" s="694"/>
    </row>
    <row r="216" spans="1:22" ht="12.75">
      <c r="A216" s="1002"/>
      <c r="B216" s="546"/>
      <c r="C216" s="1039"/>
      <c r="D216" s="1002" t="s">
        <v>1833</v>
      </c>
      <c r="E216" s="413" t="s">
        <v>92</v>
      </c>
      <c r="F216" s="412">
        <v>0.15</v>
      </c>
      <c r="G216" s="414">
        <v>40</v>
      </c>
      <c r="H216" s="1059">
        <f>F216*G216</f>
        <v>6</v>
      </c>
      <c r="I216" s="1002" t="s">
        <v>1834</v>
      </c>
      <c r="J216" s="412">
        <v>2</v>
      </c>
      <c r="K216" s="414">
        <v>1</v>
      </c>
      <c r="L216" s="415">
        <f>'Labour Cost'!F21</f>
        <v>8.75</v>
      </c>
      <c r="M216" s="414">
        <v>2.5</v>
      </c>
      <c r="N216" s="1090">
        <f>J216*K216*L216/M216</f>
        <v>7</v>
      </c>
      <c r="O216" s="1002"/>
      <c r="P216" s="412"/>
      <c r="Q216" s="412"/>
      <c r="R216" s="412"/>
      <c r="S216" s="412"/>
      <c r="T216" s="514"/>
      <c r="U216" s="507"/>
      <c r="V216" s="694"/>
    </row>
    <row r="217" spans="1:22" ht="12.75">
      <c r="A217" s="1002"/>
      <c r="B217" s="546"/>
      <c r="C217" s="1039"/>
      <c r="D217" s="1002"/>
      <c r="E217" s="413"/>
      <c r="F217" s="412"/>
      <c r="G217" s="412"/>
      <c r="H217" s="1057"/>
      <c r="I217" s="1002" t="s">
        <v>1835</v>
      </c>
      <c r="J217" s="412">
        <v>1</v>
      </c>
      <c r="K217" s="414">
        <v>0.2</v>
      </c>
      <c r="L217" s="414">
        <f>'Labour Cost'!F7</f>
        <v>20.81362580128205</v>
      </c>
      <c r="M217" s="414">
        <v>2.5</v>
      </c>
      <c r="N217" s="1090">
        <f>J217*K217*L217/M217</f>
        <v>1.6650900641025639</v>
      </c>
      <c r="O217" s="1002"/>
      <c r="P217" s="412"/>
      <c r="Q217" s="412"/>
      <c r="R217" s="412"/>
      <c r="S217" s="412"/>
      <c r="T217" s="514"/>
      <c r="U217" s="507"/>
      <c r="V217" s="694"/>
    </row>
    <row r="218" spans="1:22" ht="12.75">
      <c r="A218" s="1004"/>
      <c r="B218" s="548"/>
      <c r="C218" s="1040"/>
      <c r="D218" s="1004"/>
      <c r="E218" s="521"/>
      <c r="F218" s="520"/>
      <c r="G218" s="520"/>
      <c r="H218" s="1005">
        <f>SUM(H214:H217)</f>
        <v>81.60000000000001</v>
      </c>
      <c r="I218" s="1004"/>
      <c r="J218" s="520"/>
      <c r="K218" s="522"/>
      <c r="L218" s="520"/>
      <c r="M218" s="520"/>
      <c r="N218" s="1005">
        <f>SUM(N214:N217)</f>
        <v>31.765090064102562</v>
      </c>
      <c r="O218" s="1004"/>
      <c r="P218" s="520"/>
      <c r="Q218" s="520"/>
      <c r="R218" s="520"/>
      <c r="S218" s="520"/>
      <c r="T218" s="522">
        <f>SUM(T214:T217)</f>
        <v>0.384</v>
      </c>
      <c r="U218" s="522">
        <f>T218+N218+H218</f>
        <v>113.74909006410257</v>
      </c>
      <c r="V218" s="1005">
        <f>U218*$U$4</f>
        <v>153.37296565539185</v>
      </c>
    </row>
    <row r="219" spans="1:22" ht="12.75">
      <c r="A219" s="1002"/>
      <c r="B219" s="546"/>
      <c r="C219" s="1039"/>
      <c r="D219" s="1002"/>
      <c r="E219" s="413"/>
      <c r="F219" s="412"/>
      <c r="G219" s="412"/>
      <c r="H219" s="1057"/>
      <c r="I219" s="1002"/>
      <c r="J219" s="412"/>
      <c r="K219" s="414"/>
      <c r="L219" s="412"/>
      <c r="M219" s="412"/>
      <c r="N219" s="1091"/>
      <c r="O219" s="1002"/>
      <c r="P219" s="412"/>
      <c r="Q219" s="412"/>
      <c r="R219" s="412"/>
      <c r="S219" s="412"/>
      <c r="T219" s="514"/>
      <c r="U219" s="507"/>
      <c r="V219" s="694"/>
    </row>
    <row r="220" spans="1:22" ht="12.75">
      <c r="A220" s="1002">
        <v>36</v>
      </c>
      <c r="B220" s="546" t="s">
        <v>1836</v>
      </c>
      <c r="C220" s="1039" t="s">
        <v>24</v>
      </c>
      <c r="D220" s="1002" t="s">
        <v>1837</v>
      </c>
      <c r="E220" s="413" t="s">
        <v>24</v>
      </c>
      <c r="F220" s="412">
        <v>0.8</v>
      </c>
      <c r="G220" s="414">
        <f>'Material price'!D49</f>
        <v>81.22</v>
      </c>
      <c r="H220" s="1059">
        <f>F220*G220</f>
        <v>64.976</v>
      </c>
      <c r="I220" s="1002" t="s">
        <v>1831</v>
      </c>
      <c r="J220" s="412">
        <v>1</v>
      </c>
      <c r="K220" s="414">
        <v>1</v>
      </c>
      <c r="L220" s="414">
        <f>'Labour Cost'!F10</f>
        <v>31.499999999999996</v>
      </c>
      <c r="M220" s="414">
        <v>3</v>
      </c>
      <c r="N220" s="1090">
        <f>J220*K220*L220/M220</f>
        <v>10.499999999999998</v>
      </c>
      <c r="O220" s="1002" t="s">
        <v>277</v>
      </c>
      <c r="P220" s="417">
        <v>3</v>
      </c>
      <c r="Q220" s="417">
        <v>1</v>
      </c>
      <c r="R220" s="414">
        <f>R10</f>
        <v>0.32</v>
      </c>
      <c r="S220" s="414">
        <v>3</v>
      </c>
      <c r="T220" s="515">
        <f>P220*R220/S220</f>
        <v>0.32</v>
      </c>
      <c r="U220" s="507"/>
      <c r="V220" s="694"/>
    </row>
    <row r="221" spans="1:22" ht="12.75">
      <c r="A221" s="1002"/>
      <c r="B221" s="546"/>
      <c r="C221" s="1039"/>
      <c r="D221" s="1002" t="s">
        <v>1159</v>
      </c>
      <c r="E221" s="413" t="s">
        <v>3099</v>
      </c>
      <c r="F221" s="414">
        <v>0.1</v>
      </c>
      <c r="G221" s="414">
        <f>'Material price'!D98</f>
        <v>47.22</v>
      </c>
      <c r="H221" s="1059">
        <f>F221*G221</f>
        <v>4.722</v>
      </c>
      <c r="I221" s="1002" t="s">
        <v>1149</v>
      </c>
      <c r="J221" s="412">
        <v>1</v>
      </c>
      <c r="K221" s="414">
        <v>1</v>
      </c>
      <c r="L221" s="415">
        <f>'Labour Cost'!F11</f>
        <v>26.25</v>
      </c>
      <c r="M221" s="414">
        <v>3</v>
      </c>
      <c r="N221" s="1090">
        <f>J221*K221*L221/M221</f>
        <v>8.75</v>
      </c>
      <c r="O221" s="1002"/>
      <c r="P221" s="412"/>
      <c r="Q221" s="412"/>
      <c r="R221" s="412"/>
      <c r="S221" s="412"/>
      <c r="T221" s="514"/>
      <c r="U221" s="507"/>
      <c r="V221" s="694"/>
    </row>
    <row r="222" spans="1:22" ht="12.75">
      <c r="A222" s="1002"/>
      <c r="B222" s="546"/>
      <c r="C222" s="1039"/>
      <c r="D222" s="1002" t="s">
        <v>1833</v>
      </c>
      <c r="E222" s="413" t="s">
        <v>92</v>
      </c>
      <c r="F222" s="412">
        <v>0.12</v>
      </c>
      <c r="G222" s="414">
        <v>15</v>
      </c>
      <c r="H222" s="1059">
        <f>F222*G222</f>
        <v>1.7999999999999998</v>
      </c>
      <c r="I222" s="1002" t="s">
        <v>1834</v>
      </c>
      <c r="J222" s="412">
        <v>2</v>
      </c>
      <c r="K222" s="414">
        <v>1</v>
      </c>
      <c r="L222" s="415">
        <f>'Labour Cost'!F21</f>
        <v>8.75</v>
      </c>
      <c r="M222" s="414">
        <v>3</v>
      </c>
      <c r="N222" s="1090">
        <f>J222*K222*L222/M222</f>
        <v>5.833333333333333</v>
      </c>
      <c r="O222" s="1002"/>
      <c r="P222" s="412"/>
      <c r="Q222" s="412"/>
      <c r="R222" s="412"/>
      <c r="S222" s="412"/>
      <c r="T222" s="514"/>
      <c r="U222" s="507"/>
      <c r="V222" s="694"/>
    </row>
    <row r="223" spans="1:22" ht="12.75">
      <c r="A223" s="1002"/>
      <c r="B223" s="546"/>
      <c r="C223" s="1039"/>
      <c r="D223" s="1002"/>
      <c r="E223" s="413"/>
      <c r="F223" s="412"/>
      <c r="G223" s="412"/>
      <c r="H223" s="1057"/>
      <c r="I223" s="1002" t="s">
        <v>1835</v>
      </c>
      <c r="J223" s="412">
        <v>1</v>
      </c>
      <c r="K223" s="414">
        <v>0.2</v>
      </c>
      <c r="L223" s="414">
        <f>'Labour Cost'!F7</f>
        <v>20.81362580128205</v>
      </c>
      <c r="M223" s="414">
        <v>3</v>
      </c>
      <c r="N223" s="1090">
        <f>J223*K223*L223/M223</f>
        <v>1.3875750534188034</v>
      </c>
      <c r="O223" s="1002"/>
      <c r="P223" s="412"/>
      <c r="Q223" s="412"/>
      <c r="R223" s="412"/>
      <c r="S223" s="412"/>
      <c r="T223" s="514"/>
      <c r="U223" s="507"/>
      <c r="V223" s="694"/>
    </row>
    <row r="224" spans="1:22" ht="12.75">
      <c r="A224" s="1004"/>
      <c r="B224" s="548"/>
      <c r="C224" s="1040"/>
      <c r="D224" s="1004"/>
      <c r="E224" s="521"/>
      <c r="F224" s="520"/>
      <c r="G224" s="520"/>
      <c r="H224" s="1005">
        <f>SUM(H220:H223)</f>
        <v>71.49799999999999</v>
      </c>
      <c r="I224" s="1004"/>
      <c r="J224" s="520"/>
      <c r="K224" s="522"/>
      <c r="L224" s="520"/>
      <c r="M224" s="522"/>
      <c r="N224" s="1005">
        <f>SUM(N220:N223)</f>
        <v>26.470908386752136</v>
      </c>
      <c r="O224" s="1004"/>
      <c r="P224" s="520"/>
      <c r="Q224" s="520"/>
      <c r="R224" s="520"/>
      <c r="S224" s="520"/>
      <c r="T224" s="522">
        <f>SUM(T220:T223)</f>
        <v>0.32</v>
      </c>
      <c r="U224" s="522">
        <f>U225+N224+H224</f>
        <v>97.96890838675213</v>
      </c>
      <c r="V224" s="1005">
        <f>U224*$U$4</f>
        <v>132.09584369272653</v>
      </c>
    </row>
    <row r="225" spans="1:22" ht="12.75">
      <c r="A225" s="1002"/>
      <c r="B225" s="546"/>
      <c r="C225" s="1039"/>
      <c r="D225" s="1002"/>
      <c r="E225" s="413"/>
      <c r="F225" s="412"/>
      <c r="G225" s="412"/>
      <c r="H225" s="1057"/>
      <c r="I225" s="1002"/>
      <c r="J225" s="412"/>
      <c r="K225" s="414"/>
      <c r="L225" s="412"/>
      <c r="M225" s="412"/>
      <c r="N225" s="1090"/>
      <c r="O225" s="1002"/>
      <c r="P225" s="412"/>
      <c r="Q225" s="412"/>
      <c r="R225" s="412"/>
      <c r="S225" s="412"/>
      <c r="T225" s="515"/>
      <c r="U225" s="508"/>
      <c r="V225" s="694"/>
    </row>
    <row r="226" spans="1:22" ht="12.75">
      <c r="A226" s="1002">
        <v>37</v>
      </c>
      <c r="B226" s="546" t="s">
        <v>1838</v>
      </c>
      <c r="C226" s="1039" t="s">
        <v>24</v>
      </c>
      <c r="D226" s="1002" t="s">
        <v>1839</v>
      </c>
      <c r="E226" s="413" t="s">
        <v>1840</v>
      </c>
      <c r="F226" s="414">
        <v>1.1</v>
      </c>
      <c r="G226" s="414">
        <f>'Material price'!D73</f>
        <v>120.77225000000001</v>
      </c>
      <c r="H226" s="1059">
        <f>F226*G226</f>
        <v>132.849475</v>
      </c>
      <c r="I226" s="1002" t="s">
        <v>1831</v>
      </c>
      <c r="J226" s="412">
        <v>1</v>
      </c>
      <c r="K226" s="414">
        <v>1</v>
      </c>
      <c r="L226" s="414">
        <f>'Labour Cost'!F10</f>
        <v>31.499999999999996</v>
      </c>
      <c r="M226" s="418">
        <v>2.5</v>
      </c>
      <c r="N226" s="1090">
        <f>J226*K226*L226/M226</f>
        <v>12.599999999999998</v>
      </c>
      <c r="O226" s="1002" t="s">
        <v>277</v>
      </c>
      <c r="P226" s="417">
        <v>3</v>
      </c>
      <c r="Q226" s="417">
        <v>1</v>
      </c>
      <c r="R226" s="414">
        <f>R10</f>
        <v>0.32</v>
      </c>
      <c r="S226" s="418">
        <v>2.5</v>
      </c>
      <c r="T226" s="515">
        <f>P226*R226/S226</f>
        <v>0.384</v>
      </c>
      <c r="U226" s="507"/>
      <c r="V226" s="694"/>
    </row>
    <row r="227" spans="1:22" ht="12.75">
      <c r="A227" s="1002"/>
      <c r="B227" s="546"/>
      <c r="C227" s="1039"/>
      <c r="D227" s="1002" t="s">
        <v>1841</v>
      </c>
      <c r="E227" s="413" t="s">
        <v>1842</v>
      </c>
      <c r="F227" s="414">
        <v>5</v>
      </c>
      <c r="G227" s="414">
        <v>2.5</v>
      </c>
      <c r="H227" s="1059">
        <f>F227*G227</f>
        <v>12.5</v>
      </c>
      <c r="I227" s="1002" t="s">
        <v>1149</v>
      </c>
      <c r="J227" s="412">
        <v>1</v>
      </c>
      <c r="K227" s="414">
        <v>1</v>
      </c>
      <c r="L227" s="415">
        <f>'Labour Cost'!F11</f>
        <v>26.25</v>
      </c>
      <c r="M227" s="412">
        <v>2.5</v>
      </c>
      <c r="N227" s="1090">
        <f>J227*K227*L227/M227</f>
        <v>10.5</v>
      </c>
      <c r="O227" s="1002"/>
      <c r="P227" s="412"/>
      <c r="Q227" s="412"/>
      <c r="R227" s="412"/>
      <c r="S227" s="412"/>
      <c r="T227" s="514"/>
      <c r="U227" s="507"/>
      <c r="V227" s="1003"/>
    </row>
    <row r="228" spans="1:22" ht="12.75">
      <c r="A228" s="1002"/>
      <c r="B228" s="546"/>
      <c r="C228" s="1039"/>
      <c r="D228" s="1002"/>
      <c r="E228" s="413"/>
      <c r="F228" s="412"/>
      <c r="G228" s="412"/>
      <c r="H228" s="1057"/>
      <c r="I228" s="1002" t="s">
        <v>1834</v>
      </c>
      <c r="J228" s="412">
        <v>2</v>
      </c>
      <c r="K228" s="414">
        <v>1</v>
      </c>
      <c r="L228" s="415">
        <f>'Labour Cost'!F21</f>
        <v>8.75</v>
      </c>
      <c r="M228" s="412">
        <v>2.5</v>
      </c>
      <c r="N228" s="1090">
        <f>J228*K228*L228/M228</f>
        <v>7</v>
      </c>
      <c r="O228" s="1002"/>
      <c r="P228" s="412"/>
      <c r="Q228" s="412"/>
      <c r="R228" s="412"/>
      <c r="S228" s="412"/>
      <c r="T228" s="514"/>
      <c r="U228" s="507"/>
      <c r="V228" s="694"/>
    </row>
    <row r="229" spans="1:22" ht="12.75">
      <c r="A229" s="1002"/>
      <c r="B229" s="546"/>
      <c r="C229" s="1039"/>
      <c r="D229" s="1002"/>
      <c r="E229" s="413"/>
      <c r="F229" s="412"/>
      <c r="G229" s="412"/>
      <c r="H229" s="1057"/>
      <c r="I229" s="1002" t="s">
        <v>1835</v>
      </c>
      <c r="J229" s="412">
        <v>1</v>
      </c>
      <c r="K229" s="414">
        <v>0.2</v>
      </c>
      <c r="L229" s="414">
        <f>'Labour Cost'!F7</f>
        <v>20.81362580128205</v>
      </c>
      <c r="M229" s="412">
        <v>2.5</v>
      </c>
      <c r="N229" s="1090">
        <f>J229*K229*L229/M229</f>
        <v>1.6650900641025639</v>
      </c>
      <c r="O229" s="1002"/>
      <c r="P229" s="412"/>
      <c r="Q229" s="412"/>
      <c r="R229" s="412"/>
      <c r="S229" s="412"/>
      <c r="T229" s="514"/>
      <c r="U229" s="507"/>
      <c r="V229" s="694"/>
    </row>
    <row r="230" spans="1:22" ht="12.75">
      <c r="A230" s="1004"/>
      <c r="B230" s="548"/>
      <c r="C230" s="1040"/>
      <c r="D230" s="1004"/>
      <c r="E230" s="521"/>
      <c r="F230" s="520"/>
      <c r="G230" s="520"/>
      <c r="H230" s="1005">
        <f>SUM(H226:H229)</f>
        <v>145.349475</v>
      </c>
      <c r="I230" s="1004"/>
      <c r="J230" s="520"/>
      <c r="K230" s="522"/>
      <c r="L230" s="520"/>
      <c r="M230" s="520"/>
      <c r="N230" s="1005">
        <f>SUM(N226:N229)</f>
        <v>31.765090064102562</v>
      </c>
      <c r="O230" s="1004"/>
      <c r="P230" s="520"/>
      <c r="Q230" s="520"/>
      <c r="R230" s="520"/>
      <c r="S230" s="520"/>
      <c r="T230" s="522">
        <f>SUM(T226:T229)</f>
        <v>0.384</v>
      </c>
      <c r="U230" s="522">
        <f>T230+N230+H230</f>
        <v>177.49856506410256</v>
      </c>
      <c r="V230" s="1005">
        <f>U230*$U$4</f>
        <v>239.3292228370031</v>
      </c>
    </row>
    <row r="231" spans="1:22" ht="12.75">
      <c r="A231" s="1002"/>
      <c r="B231" s="546"/>
      <c r="C231" s="1039"/>
      <c r="D231" s="1002"/>
      <c r="E231" s="413"/>
      <c r="F231" s="412"/>
      <c r="G231" s="412"/>
      <c r="H231" s="1057"/>
      <c r="I231" s="1002"/>
      <c r="J231" s="412"/>
      <c r="K231" s="414"/>
      <c r="L231" s="412"/>
      <c r="M231" s="412"/>
      <c r="N231" s="1091"/>
      <c r="O231" s="1002"/>
      <c r="P231" s="412"/>
      <c r="Q231" s="412"/>
      <c r="R231" s="412"/>
      <c r="S231" s="412"/>
      <c r="T231" s="514"/>
      <c r="U231" s="507"/>
      <c r="V231" s="1005"/>
    </row>
    <row r="232" spans="1:22" ht="12.75">
      <c r="A232" s="1002">
        <v>38</v>
      </c>
      <c r="B232" s="547" t="s">
        <v>1185</v>
      </c>
      <c r="C232" s="1039"/>
      <c r="D232" s="1002" t="s">
        <v>1187</v>
      </c>
      <c r="E232" s="413" t="s">
        <v>149</v>
      </c>
      <c r="F232" s="412">
        <v>1.05</v>
      </c>
      <c r="G232" s="414">
        <v>48.73</v>
      </c>
      <c r="H232" s="1057">
        <f>F232*G232</f>
        <v>51.1665</v>
      </c>
      <c r="I232" s="1002" t="s">
        <v>1700</v>
      </c>
      <c r="J232" s="412">
        <v>1</v>
      </c>
      <c r="K232" s="414">
        <v>1</v>
      </c>
      <c r="L232" s="412">
        <v>4.29</v>
      </c>
      <c r="M232" s="412">
        <v>4</v>
      </c>
      <c r="N232" s="1090">
        <f>L232/M232</f>
        <v>1.0725</v>
      </c>
      <c r="O232" s="1002" t="s">
        <v>277</v>
      </c>
      <c r="P232" s="417">
        <v>3</v>
      </c>
      <c r="Q232" s="417">
        <v>1</v>
      </c>
      <c r="R232" s="414">
        <f>R10</f>
        <v>0.32</v>
      </c>
      <c r="S232" s="418">
        <v>4</v>
      </c>
      <c r="T232" s="515">
        <f>P232*R232/S232</f>
        <v>0.24</v>
      </c>
      <c r="U232" s="508"/>
      <c r="V232" s="1005"/>
    </row>
    <row r="233" spans="1:22" ht="12.75">
      <c r="A233" s="1002"/>
      <c r="B233" s="546" t="s">
        <v>1186</v>
      </c>
      <c r="C233" s="1039" t="s">
        <v>92</v>
      </c>
      <c r="D233" s="1002" t="s">
        <v>1698</v>
      </c>
      <c r="E233" s="413" t="s">
        <v>1699</v>
      </c>
      <c r="F233" s="412">
        <v>0.012</v>
      </c>
      <c r="G233" s="414">
        <f>'Material price'!D131</f>
        <v>168.52</v>
      </c>
      <c r="H233" s="1057">
        <f>F233*G233</f>
        <v>2.02224</v>
      </c>
      <c r="I233" s="1002" t="s">
        <v>801</v>
      </c>
      <c r="J233" s="412">
        <v>1</v>
      </c>
      <c r="K233" s="414">
        <v>1</v>
      </c>
      <c r="L233" s="412">
        <v>2.39</v>
      </c>
      <c r="M233" s="412">
        <v>4</v>
      </c>
      <c r="N233" s="1090">
        <f>L233/M233</f>
        <v>0.5975</v>
      </c>
      <c r="O233" s="1002"/>
      <c r="P233" s="412"/>
      <c r="Q233" s="412"/>
      <c r="R233" s="412"/>
      <c r="S233" s="412"/>
      <c r="T233" s="514"/>
      <c r="U233" s="507"/>
      <c r="V233" s="1005"/>
    </row>
    <row r="234" spans="1:22" ht="12.75">
      <c r="A234" s="1002"/>
      <c r="B234" s="546" t="s">
        <v>207</v>
      </c>
      <c r="C234" s="1039"/>
      <c r="D234" s="1002" t="s">
        <v>206</v>
      </c>
      <c r="E234" s="413" t="s">
        <v>1699</v>
      </c>
      <c r="F234" s="412">
        <v>0.036</v>
      </c>
      <c r="G234" s="414">
        <f>'Material price'!D129</f>
        <v>163.69</v>
      </c>
      <c r="H234" s="1057">
        <f>F234*G234</f>
        <v>5.89284</v>
      </c>
      <c r="I234" s="1002" t="s">
        <v>1701</v>
      </c>
      <c r="J234" s="412">
        <v>2</v>
      </c>
      <c r="K234" s="414">
        <v>1</v>
      </c>
      <c r="L234" s="412">
        <v>1</v>
      </c>
      <c r="M234" s="412">
        <v>4</v>
      </c>
      <c r="N234" s="1090">
        <f>J234/M234</f>
        <v>0.5</v>
      </c>
      <c r="O234" s="1002"/>
      <c r="P234" s="412"/>
      <c r="Q234" s="412"/>
      <c r="R234" s="412"/>
      <c r="S234" s="412"/>
      <c r="T234" s="514"/>
      <c r="U234" s="507"/>
      <c r="V234" s="1005"/>
    </row>
    <row r="235" spans="1:22" ht="12.75">
      <c r="A235" s="1004"/>
      <c r="B235" s="548"/>
      <c r="C235" s="1040"/>
      <c r="D235" s="1004"/>
      <c r="E235" s="521"/>
      <c r="F235" s="520"/>
      <c r="G235" s="520"/>
      <c r="H235" s="1005">
        <f>SUM(H232:H234)</f>
        <v>59.081579999999995</v>
      </c>
      <c r="I235" s="1004"/>
      <c r="J235" s="520"/>
      <c r="K235" s="522"/>
      <c r="L235" s="520"/>
      <c r="M235" s="520"/>
      <c r="N235" s="1058">
        <f>N232+N233+N234</f>
        <v>2.17</v>
      </c>
      <c r="O235" s="1004"/>
      <c r="P235" s="520"/>
      <c r="Q235" s="520"/>
      <c r="R235" s="520"/>
      <c r="S235" s="520"/>
      <c r="T235" s="522">
        <f>T232</f>
        <v>0.24</v>
      </c>
      <c r="U235" s="520">
        <f>H235+N235+T235</f>
        <v>61.49158</v>
      </c>
      <c r="V235" s="1005">
        <f>U235*$U$4</f>
        <v>82.911836763889</v>
      </c>
    </row>
    <row r="236" spans="1:22" ht="12.75">
      <c r="A236" s="1002"/>
      <c r="B236" s="546"/>
      <c r="C236" s="1039"/>
      <c r="D236" s="1002"/>
      <c r="E236" s="413"/>
      <c r="F236" s="412"/>
      <c r="G236" s="412"/>
      <c r="H236" s="1057"/>
      <c r="I236" s="1002"/>
      <c r="J236" s="412"/>
      <c r="K236" s="414"/>
      <c r="L236" s="412"/>
      <c r="M236" s="412"/>
      <c r="N236" s="1091"/>
      <c r="O236" s="1002"/>
      <c r="P236" s="412"/>
      <c r="Q236" s="412"/>
      <c r="R236" s="412"/>
      <c r="S236" s="412"/>
      <c r="T236" s="514"/>
      <c r="U236" s="507"/>
      <c r="V236" s="1005"/>
    </row>
    <row r="237" spans="1:22" ht="12.75">
      <c r="A237" s="1002">
        <v>39</v>
      </c>
      <c r="B237" s="546" t="s">
        <v>868</v>
      </c>
      <c r="C237" s="1039"/>
      <c r="D237" s="1002" t="s">
        <v>1703</v>
      </c>
      <c r="E237" s="413" t="s">
        <v>92</v>
      </c>
      <c r="F237" s="412">
        <v>1.05</v>
      </c>
      <c r="G237" s="414">
        <f>'Material price'!D267</f>
        <v>39.166666666666664</v>
      </c>
      <c r="H237" s="1057">
        <f>F237*G237</f>
        <v>41.125</v>
      </c>
      <c r="I237" s="1002" t="s">
        <v>275</v>
      </c>
      <c r="J237" s="412">
        <v>1</v>
      </c>
      <c r="K237" s="414">
        <v>0.1</v>
      </c>
      <c r="L237" s="415">
        <f>'Labour Cost'!F7</f>
        <v>20.81362580128205</v>
      </c>
      <c r="M237" s="412">
        <v>4</v>
      </c>
      <c r="N237" s="1090">
        <f>J237*K237*L237/M237</f>
        <v>0.5203406450320512</v>
      </c>
      <c r="O237" s="1002" t="s">
        <v>277</v>
      </c>
      <c r="P237" s="417">
        <v>1</v>
      </c>
      <c r="Q237" s="417">
        <v>1</v>
      </c>
      <c r="R237" s="414">
        <f>R10</f>
        <v>0.32</v>
      </c>
      <c r="S237" s="418">
        <v>4</v>
      </c>
      <c r="T237" s="515">
        <f>P237*Q237*R237/S237</f>
        <v>0.08</v>
      </c>
      <c r="U237" s="507"/>
      <c r="V237" s="1005"/>
    </row>
    <row r="238" spans="1:22" ht="12.75">
      <c r="A238" s="1002"/>
      <c r="B238" s="546" t="s">
        <v>1702</v>
      </c>
      <c r="C238" s="1039" t="s">
        <v>92</v>
      </c>
      <c r="D238" s="1002" t="s">
        <v>870</v>
      </c>
      <c r="E238" s="413" t="s">
        <v>2850</v>
      </c>
      <c r="F238" s="414">
        <v>0.166666</v>
      </c>
      <c r="G238" s="414">
        <f>'Material price'!D274</f>
        <v>22.48</v>
      </c>
      <c r="H238" s="1057">
        <f>F238*G238</f>
        <v>3.7466516800000003</v>
      </c>
      <c r="I238" s="1002" t="s">
        <v>808</v>
      </c>
      <c r="J238" s="412">
        <v>1</v>
      </c>
      <c r="K238" s="414">
        <v>1</v>
      </c>
      <c r="L238" s="415">
        <f>'Labour Cost'!F23</f>
        <v>9.625</v>
      </c>
      <c r="M238" s="412">
        <v>4</v>
      </c>
      <c r="N238" s="1090">
        <f>J238*K238*L238/M238</f>
        <v>2.40625</v>
      </c>
      <c r="O238" s="1002"/>
      <c r="P238" s="412"/>
      <c r="Q238" s="412"/>
      <c r="R238" s="412"/>
      <c r="S238" s="412"/>
      <c r="T238" s="514"/>
      <c r="U238" s="507"/>
      <c r="V238" s="1005"/>
    </row>
    <row r="239" spans="1:22" ht="12.75">
      <c r="A239" s="1002"/>
      <c r="B239" s="546"/>
      <c r="C239" s="1039"/>
      <c r="D239" s="1002" t="s">
        <v>1355</v>
      </c>
      <c r="E239" s="413" t="s">
        <v>86</v>
      </c>
      <c r="F239" s="412">
        <v>0.15</v>
      </c>
      <c r="G239" s="414">
        <v>26</v>
      </c>
      <c r="H239" s="1057">
        <f>F239*G239</f>
        <v>3.9</v>
      </c>
      <c r="I239" s="1002" t="s">
        <v>869</v>
      </c>
      <c r="J239" s="412">
        <v>1</v>
      </c>
      <c r="K239" s="414">
        <v>1</v>
      </c>
      <c r="L239" s="415">
        <f>'Labour Cost'!F21</f>
        <v>8.75</v>
      </c>
      <c r="M239" s="412">
        <v>4</v>
      </c>
      <c r="N239" s="1090">
        <f>J239*K239*L239/M239</f>
        <v>2.1875</v>
      </c>
      <c r="O239" s="1002"/>
      <c r="P239" s="412"/>
      <c r="Q239" s="412"/>
      <c r="R239" s="412"/>
      <c r="S239" s="412"/>
      <c r="T239" s="514"/>
      <c r="U239" s="507"/>
      <c r="V239" s="1005"/>
    </row>
    <row r="240" spans="1:22" ht="12.75">
      <c r="A240" s="1004"/>
      <c r="B240" s="548"/>
      <c r="C240" s="1040"/>
      <c r="D240" s="1004"/>
      <c r="E240" s="521"/>
      <c r="F240" s="520"/>
      <c r="G240" s="520"/>
      <c r="H240" s="1005">
        <f>SUM(H237:H239)</f>
        <v>48.77165168</v>
      </c>
      <c r="I240" s="1004"/>
      <c r="J240" s="520"/>
      <c r="K240" s="522"/>
      <c r="L240" s="520"/>
      <c r="M240" s="520"/>
      <c r="N240" s="1005">
        <f>SUM(N237:N239)</f>
        <v>5.114090645032052</v>
      </c>
      <c r="O240" s="1004"/>
      <c r="P240" s="520"/>
      <c r="Q240" s="520"/>
      <c r="R240" s="520"/>
      <c r="S240" s="520"/>
      <c r="T240" s="522">
        <f>SUM(T237:T239)</f>
        <v>0.08</v>
      </c>
      <c r="U240" s="520">
        <f>H240+N240+T240</f>
        <v>53.965742325032046</v>
      </c>
      <c r="V240" s="1005">
        <f>U240*$U$4</f>
        <v>72.76441455066129</v>
      </c>
    </row>
    <row r="241" spans="1:22" ht="12.75">
      <c r="A241" s="1002"/>
      <c r="B241" s="546"/>
      <c r="C241" s="1039"/>
      <c r="D241" s="1002"/>
      <c r="E241" s="413"/>
      <c r="F241" s="412"/>
      <c r="G241" s="412"/>
      <c r="H241" s="1057"/>
      <c r="I241" s="1002"/>
      <c r="J241" s="412"/>
      <c r="K241" s="414"/>
      <c r="L241" s="412"/>
      <c r="M241" s="412"/>
      <c r="N241" s="1091"/>
      <c r="O241" s="1002"/>
      <c r="P241" s="412"/>
      <c r="Q241" s="412"/>
      <c r="R241" s="412"/>
      <c r="S241" s="412"/>
      <c r="T241" s="514"/>
      <c r="U241" s="507"/>
      <c r="V241" s="1005"/>
    </row>
    <row r="242" spans="1:22" ht="12.75">
      <c r="A242" s="1002">
        <v>40</v>
      </c>
      <c r="B242" s="546" t="s">
        <v>2423</v>
      </c>
      <c r="C242" s="1039"/>
      <c r="D242" s="1002" t="s">
        <v>1151</v>
      </c>
      <c r="E242" s="413" t="s">
        <v>1982</v>
      </c>
      <c r="F242" s="414">
        <v>0.22</v>
      </c>
      <c r="G242" s="415">
        <f>G69</f>
        <v>255.3913043478261</v>
      </c>
      <c r="H242" s="1059">
        <f>F242*G242</f>
        <v>56.18608695652174</v>
      </c>
      <c r="I242" s="1002" t="s">
        <v>275</v>
      </c>
      <c r="J242" s="412">
        <v>1</v>
      </c>
      <c r="K242" s="414">
        <v>0.1</v>
      </c>
      <c r="L242" s="415">
        <f>'Labour Cost'!F7</f>
        <v>20.81362580128205</v>
      </c>
      <c r="M242" s="414">
        <v>4</v>
      </c>
      <c r="N242" s="1090">
        <f>J242*K242*L242/M242</f>
        <v>0.5203406450320512</v>
      </c>
      <c r="O242" s="1002" t="s">
        <v>614</v>
      </c>
      <c r="P242" s="412">
        <v>1</v>
      </c>
      <c r="Q242" s="412">
        <v>0.25</v>
      </c>
      <c r="R242" s="414">
        <f>'Equip. Rental Rate'!AB52</f>
        <v>54.62462218906289</v>
      </c>
      <c r="S242" s="414">
        <v>4</v>
      </c>
      <c r="T242" s="515">
        <f>P242*Q242*R242/S242</f>
        <v>3.4140388868164306</v>
      </c>
      <c r="U242" s="507"/>
      <c r="V242" s="1005"/>
    </row>
    <row r="243" spans="1:22" ht="12.75">
      <c r="A243" s="1002"/>
      <c r="B243" s="546" t="s">
        <v>2930</v>
      </c>
      <c r="C243" s="1039"/>
      <c r="D243" s="1002" t="s">
        <v>622</v>
      </c>
      <c r="E243" s="413" t="s">
        <v>484</v>
      </c>
      <c r="F243" s="414">
        <v>0.054</v>
      </c>
      <c r="G243" s="415">
        <f>'Material price'!D8</f>
        <v>312.5</v>
      </c>
      <c r="H243" s="1059">
        <f>F243*G243</f>
        <v>16.875</v>
      </c>
      <c r="I243" s="1002" t="s">
        <v>1857</v>
      </c>
      <c r="J243" s="412">
        <v>1</v>
      </c>
      <c r="K243" s="414">
        <v>1</v>
      </c>
      <c r="L243" s="415">
        <f>'Labour Cost'!F12</f>
        <v>35</v>
      </c>
      <c r="M243" s="414">
        <v>4</v>
      </c>
      <c r="N243" s="1090">
        <f>J243*K243*L243/M243</f>
        <v>8.75</v>
      </c>
      <c r="O243" s="1002" t="s">
        <v>277</v>
      </c>
      <c r="P243" s="412">
        <v>10</v>
      </c>
      <c r="Q243" s="412">
        <v>1</v>
      </c>
      <c r="R243" s="412">
        <f>R10</f>
        <v>0.32</v>
      </c>
      <c r="S243" s="414">
        <v>4</v>
      </c>
      <c r="T243" s="515">
        <f>P243*Q243*R243/S243</f>
        <v>0.8</v>
      </c>
      <c r="U243" s="507"/>
      <c r="V243" s="1005"/>
    </row>
    <row r="244" spans="1:22" ht="12.75">
      <c r="A244" s="1002"/>
      <c r="B244" s="546" t="s">
        <v>2931</v>
      </c>
      <c r="C244" s="1039" t="s">
        <v>24</v>
      </c>
      <c r="D244" s="1002" t="s">
        <v>2364</v>
      </c>
      <c r="E244" s="413" t="s">
        <v>484</v>
      </c>
      <c r="F244" s="414">
        <v>0.072</v>
      </c>
      <c r="G244" s="415">
        <f>'Material price'!D14</f>
        <v>143.75</v>
      </c>
      <c r="H244" s="1059">
        <f>F244*G244</f>
        <v>10.35</v>
      </c>
      <c r="I244" s="1002" t="s">
        <v>2424</v>
      </c>
      <c r="J244" s="412">
        <v>10</v>
      </c>
      <c r="K244" s="414">
        <v>1</v>
      </c>
      <c r="L244" s="415">
        <f>'Labour Cost'!F21</f>
        <v>8.75</v>
      </c>
      <c r="M244" s="414">
        <v>4</v>
      </c>
      <c r="N244" s="1090">
        <f>J244*K244*L244/M244</f>
        <v>21.875</v>
      </c>
      <c r="O244" s="1002"/>
      <c r="P244" s="412"/>
      <c r="Q244" s="412"/>
      <c r="R244" s="412"/>
      <c r="S244" s="412"/>
      <c r="T244" s="514"/>
      <c r="U244" s="507"/>
      <c r="V244" s="1005"/>
    </row>
    <row r="245" spans="1:22" ht="12.75">
      <c r="A245" s="1002"/>
      <c r="B245" s="546"/>
      <c r="C245" s="1039"/>
      <c r="D245" s="1002" t="s">
        <v>261</v>
      </c>
      <c r="E245" s="413" t="s">
        <v>484</v>
      </c>
      <c r="F245" s="414">
        <v>0.03</v>
      </c>
      <c r="G245" s="415">
        <f>'Material price'!D17</f>
        <v>3</v>
      </c>
      <c r="H245" s="1059">
        <f>F245*G245</f>
        <v>0.09</v>
      </c>
      <c r="I245" s="1002" t="s">
        <v>2425</v>
      </c>
      <c r="J245" s="412">
        <v>1</v>
      </c>
      <c r="K245" s="414">
        <v>0.25</v>
      </c>
      <c r="L245" s="415">
        <f>'Labour Cost'!F24</f>
        <v>15.399999999999999</v>
      </c>
      <c r="M245" s="414">
        <v>4</v>
      </c>
      <c r="N245" s="1090">
        <f>J245*K245*L245/M245</f>
        <v>0.9624999999999999</v>
      </c>
      <c r="O245" s="1002"/>
      <c r="P245" s="412"/>
      <c r="Q245" s="412"/>
      <c r="R245" s="412"/>
      <c r="S245" s="412"/>
      <c r="T245" s="514"/>
      <c r="U245" s="507"/>
      <c r="V245" s="1005"/>
    </row>
    <row r="246" spans="1:22" ht="12.75">
      <c r="A246" s="1004"/>
      <c r="B246" s="548"/>
      <c r="C246" s="1040"/>
      <c r="D246" s="1004"/>
      <c r="E246" s="521"/>
      <c r="F246" s="520"/>
      <c r="G246" s="520"/>
      <c r="H246" s="1005">
        <f>SUM(H242:H245)</f>
        <v>83.50108695652173</v>
      </c>
      <c r="I246" s="1004"/>
      <c r="J246" s="520"/>
      <c r="K246" s="522"/>
      <c r="L246" s="520"/>
      <c r="M246" s="520"/>
      <c r="N246" s="1005">
        <f>SUM(N242:N245)</f>
        <v>32.10784064503205</v>
      </c>
      <c r="O246" s="1004"/>
      <c r="P246" s="520"/>
      <c r="Q246" s="520"/>
      <c r="R246" s="520"/>
      <c r="S246" s="520"/>
      <c r="T246" s="522">
        <f>SUM(T242:T245)</f>
        <v>4.2140388868164305</v>
      </c>
      <c r="U246" s="522">
        <f>H246+N246+T246</f>
        <v>119.8229664883702</v>
      </c>
      <c r="V246" s="1005">
        <f>U246*$U$4</f>
        <v>161.5626438294266</v>
      </c>
    </row>
    <row r="247" spans="1:22" s="438" customFormat="1" ht="12.75">
      <c r="A247" s="1008"/>
      <c r="B247" s="549"/>
      <c r="C247" s="1047"/>
      <c r="D247" s="1008"/>
      <c r="E247" s="453"/>
      <c r="F247" s="420"/>
      <c r="G247" s="420"/>
      <c r="H247" s="1057"/>
      <c r="I247" s="1008"/>
      <c r="J247" s="420"/>
      <c r="K247" s="416"/>
      <c r="L247" s="420"/>
      <c r="M247" s="420"/>
      <c r="N247" s="1091"/>
      <c r="O247" s="1008"/>
      <c r="P247" s="420"/>
      <c r="Q247" s="420"/>
      <c r="R247" s="420"/>
      <c r="S247" s="420"/>
      <c r="T247" s="514"/>
      <c r="U247" s="507"/>
      <c r="V247" s="1005"/>
    </row>
    <row r="248" spans="1:22" ht="12.75">
      <c r="A248" s="1002">
        <v>41</v>
      </c>
      <c r="B248" s="546" t="s">
        <v>439</v>
      </c>
      <c r="C248" s="1039"/>
      <c r="D248" s="1002" t="s">
        <v>1151</v>
      </c>
      <c r="E248" s="413" t="s">
        <v>1982</v>
      </c>
      <c r="F248" s="412">
        <v>0.12</v>
      </c>
      <c r="G248" s="415">
        <f>G69</f>
        <v>255.3913043478261</v>
      </c>
      <c r="H248" s="1057">
        <f>F248*G248</f>
        <v>30.64695652173913</v>
      </c>
      <c r="I248" s="1002" t="s">
        <v>275</v>
      </c>
      <c r="J248" s="412">
        <v>1</v>
      </c>
      <c r="K248" s="414">
        <v>0.25</v>
      </c>
      <c r="L248" s="415">
        <f>'Labour Cost'!F7</f>
        <v>20.81362580128205</v>
      </c>
      <c r="M248" s="414">
        <v>4.5</v>
      </c>
      <c r="N248" s="1090">
        <f>J248*K248*L248/M248</f>
        <v>1.1563125445156694</v>
      </c>
      <c r="O248" s="1002" t="s">
        <v>614</v>
      </c>
      <c r="P248" s="412">
        <v>1</v>
      </c>
      <c r="Q248" s="412">
        <v>1</v>
      </c>
      <c r="R248" s="414">
        <f>'Equip. Rental Rate'!AB52</f>
        <v>54.62462218906289</v>
      </c>
      <c r="S248" s="414">
        <v>4.5</v>
      </c>
      <c r="T248" s="515">
        <f>P248*Q248*R248/S248</f>
        <v>12.138804930902864</v>
      </c>
      <c r="U248" s="507"/>
      <c r="V248" s="1005"/>
    </row>
    <row r="249" spans="1:22" ht="12.75">
      <c r="A249" s="1002"/>
      <c r="B249" s="546" t="s">
        <v>2930</v>
      </c>
      <c r="C249" s="1039"/>
      <c r="D249" s="1002" t="s">
        <v>622</v>
      </c>
      <c r="E249" s="413" t="s">
        <v>484</v>
      </c>
      <c r="F249" s="412">
        <v>0.02</v>
      </c>
      <c r="G249" s="415">
        <f>'Material price'!D8</f>
        <v>312.5</v>
      </c>
      <c r="H249" s="1057">
        <f>F249*G249</f>
        <v>6.25</v>
      </c>
      <c r="I249" s="1002" t="s">
        <v>1857</v>
      </c>
      <c r="J249" s="412">
        <v>1</v>
      </c>
      <c r="K249" s="414">
        <v>1</v>
      </c>
      <c r="L249" s="415">
        <f>'Labour Cost'!F12</f>
        <v>35</v>
      </c>
      <c r="M249" s="414">
        <v>4.5</v>
      </c>
      <c r="N249" s="1090">
        <f>J249*K249*L249/M249</f>
        <v>7.777777777777778</v>
      </c>
      <c r="O249" s="1002" t="s">
        <v>277</v>
      </c>
      <c r="P249" s="412">
        <v>18</v>
      </c>
      <c r="Q249" s="412">
        <v>1</v>
      </c>
      <c r="R249" s="412">
        <f>R10</f>
        <v>0.32</v>
      </c>
      <c r="S249" s="414">
        <v>4.5</v>
      </c>
      <c r="T249" s="515">
        <f>P249*Q249*R249/S249</f>
        <v>1.28</v>
      </c>
      <c r="U249" s="507"/>
      <c r="V249" s="1005"/>
    </row>
    <row r="250" spans="1:22" ht="12.75">
      <c r="A250" s="1002"/>
      <c r="B250" s="546" t="s">
        <v>2931</v>
      </c>
      <c r="C250" s="1039" t="s">
        <v>24</v>
      </c>
      <c r="D250" s="1002" t="s">
        <v>2364</v>
      </c>
      <c r="E250" s="413" t="s">
        <v>484</v>
      </c>
      <c r="F250" s="412">
        <v>0.03</v>
      </c>
      <c r="G250" s="415">
        <f>'Material price'!D14</f>
        <v>143.75</v>
      </c>
      <c r="H250" s="1057">
        <f>F250*G250</f>
        <v>4.3125</v>
      </c>
      <c r="I250" s="1002" t="s">
        <v>2424</v>
      </c>
      <c r="J250" s="412">
        <v>18</v>
      </c>
      <c r="K250" s="414">
        <v>1</v>
      </c>
      <c r="L250" s="415">
        <f>'Labour Cost'!F21</f>
        <v>8.75</v>
      </c>
      <c r="M250" s="414">
        <v>4.5</v>
      </c>
      <c r="N250" s="1090">
        <f>J250*K250*L250/M250</f>
        <v>35</v>
      </c>
      <c r="O250" s="1002"/>
      <c r="P250" s="412"/>
      <c r="Q250" s="412"/>
      <c r="R250" s="412"/>
      <c r="S250" s="412"/>
      <c r="T250" s="514"/>
      <c r="U250" s="507"/>
      <c r="V250" s="1005"/>
    </row>
    <row r="251" spans="1:22" ht="12.75">
      <c r="A251" s="1002"/>
      <c r="B251" s="546"/>
      <c r="C251" s="1039"/>
      <c r="D251" s="1002" t="s">
        <v>261</v>
      </c>
      <c r="E251" s="413" t="s">
        <v>484</v>
      </c>
      <c r="F251" s="412">
        <v>0.01</v>
      </c>
      <c r="G251" s="415">
        <f>'Material price'!D17</f>
        <v>3</v>
      </c>
      <c r="H251" s="1057">
        <f>F251*G251</f>
        <v>0.03</v>
      </c>
      <c r="I251" s="1002" t="s">
        <v>2425</v>
      </c>
      <c r="J251" s="412">
        <v>1</v>
      </c>
      <c r="K251" s="414">
        <v>0.25</v>
      </c>
      <c r="L251" s="415">
        <f>'Labour Cost'!F24</f>
        <v>15.399999999999999</v>
      </c>
      <c r="M251" s="414">
        <v>4.5</v>
      </c>
      <c r="N251" s="1090">
        <f>J251*K251*L251/M251</f>
        <v>0.8555555555555555</v>
      </c>
      <c r="O251" s="1002"/>
      <c r="P251" s="412"/>
      <c r="Q251" s="412"/>
      <c r="R251" s="412"/>
      <c r="S251" s="412"/>
      <c r="T251" s="514"/>
      <c r="U251" s="507"/>
      <c r="V251" s="1005"/>
    </row>
    <row r="252" spans="1:22" ht="12.75">
      <c r="A252" s="1004"/>
      <c r="B252" s="548"/>
      <c r="C252" s="1040"/>
      <c r="D252" s="1004"/>
      <c r="E252" s="521"/>
      <c r="F252" s="520"/>
      <c r="G252" s="520"/>
      <c r="H252" s="1005">
        <f>SUM(H248:H251)</f>
        <v>41.23945652173913</v>
      </c>
      <c r="I252" s="1004"/>
      <c r="J252" s="520"/>
      <c r="K252" s="522"/>
      <c r="L252" s="520"/>
      <c r="M252" s="520"/>
      <c r="N252" s="1005">
        <f>SUM(N248:N251)</f>
        <v>44.789645877849</v>
      </c>
      <c r="O252" s="1004"/>
      <c r="P252" s="520"/>
      <c r="Q252" s="520"/>
      <c r="R252" s="520"/>
      <c r="S252" s="520"/>
      <c r="T252" s="522">
        <f>SUM(T248:T251)</f>
        <v>13.418804930902864</v>
      </c>
      <c r="U252" s="522">
        <f>H252+N252+T252</f>
        <v>99.44790733049099</v>
      </c>
      <c r="V252" s="1005">
        <f>U252*$U$4</f>
        <v>134.09004385797257</v>
      </c>
    </row>
    <row r="253" spans="1:22" ht="12.75">
      <c r="A253" s="1002"/>
      <c r="B253" s="546"/>
      <c r="C253" s="1039"/>
      <c r="D253" s="1002"/>
      <c r="E253" s="413"/>
      <c r="F253" s="412"/>
      <c r="G253" s="412"/>
      <c r="H253" s="1057"/>
      <c r="I253" s="1002"/>
      <c r="J253" s="412"/>
      <c r="K253" s="414"/>
      <c r="L253" s="412"/>
      <c r="M253" s="412"/>
      <c r="N253" s="1091"/>
      <c r="O253" s="1002"/>
      <c r="P253" s="412"/>
      <c r="Q253" s="412"/>
      <c r="R253" s="412"/>
      <c r="S253" s="412"/>
      <c r="T253" s="514"/>
      <c r="U253" s="507"/>
      <c r="V253" s="694"/>
    </row>
    <row r="254" spans="1:22" ht="30.75" customHeight="1">
      <c r="A254" s="1002"/>
      <c r="B254" s="1320" t="s">
        <v>3195</v>
      </c>
      <c r="C254" s="1321"/>
      <c r="D254" s="1060"/>
      <c r="E254" s="1042"/>
      <c r="F254" s="1042"/>
      <c r="G254" s="1042"/>
      <c r="H254" s="1064"/>
      <c r="I254" s="1002"/>
      <c r="J254" s="412"/>
      <c r="K254" s="414"/>
      <c r="L254" s="412"/>
      <c r="M254" s="412"/>
      <c r="N254" s="1091"/>
      <c r="O254" s="1002"/>
      <c r="P254" s="412"/>
      <c r="Q254" s="412"/>
      <c r="R254" s="412"/>
      <c r="S254" s="412"/>
      <c r="T254" s="514"/>
      <c r="U254" s="507"/>
      <c r="V254" s="694"/>
    </row>
    <row r="255" spans="1:22" ht="12.75">
      <c r="A255" s="1002"/>
      <c r="B255" s="412"/>
      <c r="C255" s="1039"/>
      <c r="D255" s="1002"/>
      <c r="E255" s="413"/>
      <c r="F255" s="412"/>
      <c r="G255" s="412"/>
      <c r="H255" s="1057"/>
      <c r="I255" s="1002"/>
      <c r="J255" s="412"/>
      <c r="K255" s="414"/>
      <c r="L255" s="412"/>
      <c r="M255" s="412"/>
      <c r="N255" s="1091"/>
      <c r="O255" s="1002"/>
      <c r="P255" s="412"/>
      <c r="Q255" s="412"/>
      <c r="R255" s="412"/>
      <c r="S255" s="412"/>
      <c r="T255" s="514"/>
      <c r="U255" s="507"/>
      <c r="V255" s="694"/>
    </row>
    <row r="256" spans="1:22" ht="12.75">
      <c r="A256" s="1002">
        <v>42</v>
      </c>
      <c r="B256" s="546" t="s">
        <v>440</v>
      </c>
      <c r="C256" s="1039"/>
      <c r="D256" s="1002" t="s">
        <v>1843</v>
      </c>
      <c r="E256" s="413" t="s">
        <v>92</v>
      </c>
      <c r="F256" s="414">
        <v>1.1</v>
      </c>
      <c r="G256" s="414">
        <f>60/4</f>
        <v>15</v>
      </c>
      <c r="H256" s="1059">
        <f>F256*G256</f>
        <v>16.5</v>
      </c>
      <c r="I256" s="1002" t="s">
        <v>1259</v>
      </c>
      <c r="J256" s="412">
        <v>1</v>
      </c>
      <c r="K256" s="414">
        <v>1</v>
      </c>
      <c r="L256" s="414">
        <f>'Labour Cost'!F10</f>
        <v>31.499999999999996</v>
      </c>
      <c r="M256" s="412">
        <v>4.5</v>
      </c>
      <c r="N256" s="1090">
        <f>J256*K256*L256/M256</f>
        <v>6.999999999999999</v>
      </c>
      <c r="O256" s="1002" t="s">
        <v>277</v>
      </c>
      <c r="P256" s="417">
        <v>2</v>
      </c>
      <c r="Q256" s="417">
        <v>1</v>
      </c>
      <c r="R256" s="412">
        <f>R10</f>
        <v>0.32</v>
      </c>
      <c r="S256" s="412">
        <v>4.5</v>
      </c>
      <c r="T256" s="515">
        <f>P256*R256/S256</f>
        <v>0.14222222222222222</v>
      </c>
      <c r="U256" s="507"/>
      <c r="V256" s="694"/>
    </row>
    <row r="257" spans="1:22" ht="12.75">
      <c r="A257" s="1002"/>
      <c r="B257" s="546"/>
      <c r="C257" s="1039" t="s">
        <v>92</v>
      </c>
      <c r="D257" s="1002" t="s">
        <v>1159</v>
      </c>
      <c r="E257" s="413" t="s">
        <v>3099</v>
      </c>
      <c r="F257" s="414">
        <v>0.1</v>
      </c>
      <c r="G257" s="414">
        <f>'Material price'!D97</f>
        <v>19.48</v>
      </c>
      <c r="H257" s="1059">
        <f>F257*G257</f>
        <v>1.9480000000000002</v>
      </c>
      <c r="I257" s="1002" t="s">
        <v>1260</v>
      </c>
      <c r="J257" s="412">
        <v>1</v>
      </c>
      <c r="K257" s="414">
        <v>1</v>
      </c>
      <c r="L257" s="415">
        <f>'Labour Cost'!F11</f>
        <v>26.25</v>
      </c>
      <c r="M257" s="412">
        <v>4.5</v>
      </c>
      <c r="N257" s="1091">
        <f>J257*K257*L257/M257</f>
        <v>5.833333333333333</v>
      </c>
      <c r="O257" s="1002"/>
      <c r="P257" s="412"/>
      <c r="Q257" s="412"/>
      <c r="R257" s="412"/>
      <c r="S257" s="412"/>
      <c r="T257" s="514"/>
      <c r="U257" s="507"/>
      <c r="V257" s="694"/>
    </row>
    <row r="258" spans="1:22" ht="12.75">
      <c r="A258" s="1002"/>
      <c r="B258" s="546"/>
      <c r="C258" s="1039"/>
      <c r="D258" s="1002"/>
      <c r="E258" s="413"/>
      <c r="F258" s="412"/>
      <c r="G258" s="412"/>
      <c r="H258" s="1057"/>
      <c r="I258" s="1002" t="s">
        <v>1834</v>
      </c>
      <c r="J258" s="412">
        <v>2</v>
      </c>
      <c r="K258" s="414">
        <v>1</v>
      </c>
      <c r="L258" s="415">
        <f>'Labour Cost'!F21</f>
        <v>8.75</v>
      </c>
      <c r="M258" s="412">
        <v>4.5</v>
      </c>
      <c r="N258" s="1090">
        <f>J258*K258*L258/M258</f>
        <v>3.888888888888889</v>
      </c>
      <c r="O258" s="1002"/>
      <c r="P258" s="412"/>
      <c r="Q258" s="412"/>
      <c r="R258" s="412"/>
      <c r="S258" s="412"/>
      <c r="T258" s="514"/>
      <c r="U258" s="507"/>
      <c r="V258" s="694"/>
    </row>
    <row r="259" spans="1:22" ht="12.75">
      <c r="A259" s="1002"/>
      <c r="B259" s="546"/>
      <c r="C259" s="1039"/>
      <c r="D259" s="1002"/>
      <c r="E259" s="413"/>
      <c r="F259" s="412"/>
      <c r="G259" s="412"/>
      <c r="H259" s="1057"/>
      <c r="I259" s="1002" t="s">
        <v>1835</v>
      </c>
      <c r="J259" s="412">
        <v>1</v>
      </c>
      <c r="K259" s="414">
        <v>0.1</v>
      </c>
      <c r="L259" s="414">
        <f>'Labour Cost'!F7</f>
        <v>20.81362580128205</v>
      </c>
      <c r="M259" s="412">
        <v>4.5</v>
      </c>
      <c r="N259" s="1090">
        <f>J259*K259*L259/M259</f>
        <v>0.46252501780626776</v>
      </c>
      <c r="O259" s="1002"/>
      <c r="P259" s="412"/>
      <c r="Q259" s="412"/>
      <c r="R259" s="412"/>
      <c r="S259" s="412"/>
      <c r="T259" s="514"/>
      <c r="U259" s="507"/>
      <c r="V259" s="694"/>
    </row>
    <row r="260" spans="1:22" ht="12.75">
      <c r="A260" s="1004"/>
      <c r="B260" s="548"/>
      <c r="C260" s="1040"/>
      <c r="D260" s="1004"/>
      <c r="E260" s="521"/>
      <c r="F260" s="520"/>
      <c r="G260" s="520"/>
      <c r="H260" s="1005">
        <f>SUM(H256:H259)</f>
        <v>18.448</v>
      </c>
      <c r="I260" s="1004"/>
      <c r="J260" s="520"/>
      <c r="K260" s="522"/>
      <c r="L260" s="520"/>
      <c r="M260" s="520"/>
      <c r="N260" s="1005">
        <f>SUM(N256:N259)</f>
        <v>17.18474724002849</v>
      </c>
      <c r="O260" s="1004"/>
      <c r="P260" s="520"/>
      <c r="Q260" s="520"/>
      <c r="R260" s="520"/>
      <c r="S260" s="520"/>
      <c r="T260" s="522">
        <f>SUM(T256:T259)</f>
        <v>0.14222222222222222</v>
      </c>
      <c r="U260" s="522">
        <f>T260+N260+H260</f>
        <v>35.77496946225071</v>
      </c>
      <c r="V260" s="1005">
        <f>U260*$U$4</f>
        <v>48.236985100842176</v>
      </c>
    </row>
    <row r="261" spans="1:22" ht="12.75">
      <c r="A261" s="1002"/>
      <c r="B261" s="546"/>
      <c r="C261" s="1039"/>
      <c r="D261" s="1002"/>
      <c r="E261" s="413"/>
      <c r="F261" s="412"/>
      <c r="G261" s="412"/>
      <c r="H261" s="1057"/>
      <c r="I261" s="1002"/>
      <c r="J261" s="412"/>
      <c r="K261" s="414"/>
      <c r="L261" s="412"/>
      <c r="M261" s="412"/>
      <c r="N261" s="1091"/>
      <c r="O261" s="1002"/>
      <c r="P261" s="412"/>
      <c r="Q261" s="412"/>
      <c r="R261" s="412"/>
      <c r="S261" s="412"/>
      <c r="T261" s="514"/>
      <c r="U261" s="507"/>
      <c r="V261" s="694"/>
    </row>
    <row r="262" spans="1:22" ht="12.75">
      <c r="A262" s="1002">
        <v>43</v>
      </c>
      <c r="B262" s="546" t="s">
        <v>1844</v>
      </c>
      <c r="C262" s="1039"/>
      <c r="D262" s="1002" t="s">
        <v>1845</v>
      </c>
      <c r="E262" s="413" t="s">
        <v>92</v>
      </c>
      <c r="F262" s="414">
        <v>1.15</v>
      </c>
      <c r="G262" s="414">
        <f>40/6</f>
        <v>6.666666666666667</v>
      </c>
      <c r="H262" s="1059">
        <f>F262*G262</f>
        <v>7.666666666666666</v>
      </c>
      <c r="I262" s="1002" t="s">
        <v>1831</v>
      </c>
      <c r="J262" s="412">
        <v>1</v>
      </c>
      <c r="K262" s="414">
        <v>1</v>
      </c>
      <c r="L262" s="414">
        <f>'Labour Cost'!F10</f>
        <v>31.499999999999996</v>
      </c>
      <c r="M262" s="417">
        <v>8</v>
      </c>
      <c r="N262" s="1090">
        <f>J262*K262*L262/M262</f>
        <v>3.9374999999999996</v>
      </c>
      <c r="O262" s="1002" t="s">
        <v>277</v>
      </c>
      <c r="P262" s="417">
        <v>3</v>
      </c>
      <c r="Q262" s="417">
        <v>1</v>
      </c>
      <c r="R262" s="414">
        <f>R10</f>
        <v>0.32</v>
      </c>
      <c r="S262" s="417">
        <v>8</v>
      </c>
      <c r="T262" s="515">
        <f>P262*R262/S262</f>
        <v>0.12</v>
      </c>
      <c r="U262" s="507"/>
      <c r="V262" s="694"/>
    </row>
    <row r="263" spans="1:22" ht="12.75">
      <c r="A263" s="1002"/>
      <c r="B263" s="546" t="s">
        <v>1846</v>
      </c>
      <c r="C263" s="1039" t="s">
        <v>92</v>
      </c>
      <c r="D263" s="1002" t="s">
        <v>1159</v>
      </c>
      <c r="E263" s="413" t="s">
        <v>3099</v>
      </c>
      <c r="F263" s="414">
        <v>0.15</v>
      </c>
      <c r="G263" s="414">
        <f>'Material price'!D97</f>
        <v>19.48</v>
      </c>
      <c r="H263" s="1059">
        <f>F263*G263</f>
        <v>2.922</v>
      </c>
      <c r="I263" s="1002" t="s">
        <v>1149</v>
      </c>
      <c r="J263" s="412">
        <v>1</v>
      </c>
      <c r="K263" s="414">
        <v>1</v>
      </c>
      <c r="L263" s="415">
        <f>'Labour Cost'!F11</f>
        <v>26.25</v>
      </c>
      <c r="M263" s="417">
        <v>8</v>
      </c>
      <c r="N263" s="1090">
        <f>J263*K263*L263/M263</f>
        <v>3.28125</v>
      </c>
      <c r="O263" s="1002"/>
      <c r="P263" s="412"/>
      <c r="Q263" s="412"/>
      <c r="R263" s="412"/>
      <c r="S263" s="412"/>
      <c r="T263" s="514"/>
      <c r="U263" s="507"/>
      <c r="V263" s="694"/>
    </row>
    <row r="264" spans="1:22" ht="12.75">
      <c r="A264" s="1002"/>
      <c r="B264" s="546"/>
      <c r="C264" s="1039"/>
      <c r="D264" s="1002" t="s">
        <v>1847</v>
      </c>
      <c r="E264" s="413" t="s">
        <v>3099</v>
      </c>
      <c r="F264" s="414">
        <v>0.1</v>
      </c>
      <c r="G264" s="414">
        <v>12</v>
      </c>
      <c r="H264" s="1059">
        <f>F264*G264</f>
        <v>1.2000000000000002</v>
      </c>
      <c r="I264" s="1002" t="s">
        <v>1834</v>
      </c>
      <c r="J264" s="412">
        <v>2</v>
      </c>
      <c r="K264" s="414">
        <v>1</v>
      </c>
      <c r="L264" s="415">
        <f>'Labour Cost'!F21</f>
        <v>8.75</v>
      </c>
      <c r="M264" s="417">
        <v>8</v>
      </c>
      <c r="N264" s="1090">
        <f>J264*K264*L264/M264</f>
        <v>2.1875</v>
      </c>
      <c r="O264" s="1002"/>
      <c r="P264" s="412"/>
      <c r="Q264" s="412"/>
      <c r="R264" s="412"/>
      <c r="S264" s="412"/>
      <c r="T264" s="514"/>
      <c r="U264" s="507"/>
      <c r="V264" s="694"/>
    </row>
    <row r="265" spans="1:22" ht="12.75">
      <c r="A265" s="1002"/>
      <c r="B265" s="546"/>
      <c r="C265" s="1039"/>
      <c r="D265" s="1002"/>
      <c r="E265" s="413"/>
      <c r="F265" s="412"/>
      <c r="G265" s="412"/>
      <c r="H265" s="1057"/>
      <c r="I265" s="1002" t="s">
        <v>1835</v>
      </c>
      <c r="J265" s="412">
        <v>1</v>
      </c>
      <c r="K265" s="414">
        <v>0.2</v>
      </c>
      <c r="L265" s="414">
        <f>'Labour Cost'!F7</f>
        <v>20.81362580128205</v>
      </c>
      <c r="M265" s="417">
        <v>8</v>
      </c>
      <c r="N265" s="1090">
        <f>J265*K265*L265/M265</f>
        <v>0.5203406450320512</v>
      </c>
      <c r="O265" s="1002"/>
      <c r="P265" s="412"/>
      <c r="Q265" s="412"/>
      <c r="R265" s="412"/>
      <c r="S265" s="412"/>
      <c r="T265" s="514"/>
      <c r="U265" s="507"/>
      <c r="V265" s="694"/>
    </row>
    <row r="266" spans="1:22" ht="12.75">
      <c r="A266" s="1004"/>
      <c r="B266" s="548"/>
      <c r="C266" s="1040"/>
      <c r="D266" s="1004"/>
      <c r="E266" s="521"/>
      <c r="F266" s="520"/>
      <c r="G266" s="520"/>
      <c r="H266" s="1005">
        <f>SUM(H262:H265)</f>
        <v>11.788666666666668</v>
      </c>
      <c r="I266" s="1004"/>
      <c r="J266" s="520"/>
      <c r="K266" s="522"/>
      <c r="L266" s="520"/>
      <c r="M266" s="520"/>
      <c r="N266" s="1005">
        <f>SUM(N262:N265)</f>
        <v>9.926590645032052</v>
      </c>
      <c r="O266" s="1004"/>
      <c r="P266" s="520"/>
      <c r="Q266" s="520"/>
      <c r="R266" s="520"/>
      <c r="S266" s="520"/>
      <c r="T266" s="522">
        <f>SUM(T262:T265)</f>
        <v>0.12</v>
      </c>
      <c r="U266" s="522">
        <f>T266+N266+H266</f>
        <v>21.83525731169872</v>
      </c>
      <c r="V266" s="1005">
        <f>U266*$U$4</f>
        <v>29.44145019407662</v>
      </c>
    </row>
    <row r="267" spans="1:22" ht="12.75">
      <c r="A267" s="1002"/>
      <c r="B267" s="546"/>
      <c r="C267" s="1039"/>
      <c r="D267" s="1002"/>
      <c r="E267" s="413"/>
      <c r="F267" s="412"/>
      <c r="G267" s="412"/>
      <c r="H267" s="1057"/>
      <c r="I267" s="1002"/>
      <c r="J267" s="412"/>
      <c r="K267" s="414"/>
      <c r="L267" s="412"/>
      <c r="M267" s="412"/>
      <c r="N267" s="1091"/>
      <c r="O267" s="1002"/>
      <c r="P267" s="412"/>
      <c r="Q267" s="412"/>
      <c r="R267" s="412"/>
      <c r="S267" s="412"/>
      <c r="T267" s="514"/>
      <c r="U267" s="507"/>
      <c r="V267" s="694"/>
    </row>
    <row r="268" spans="1:22" ht="12.75">
      <c r="A268" s="1002">
        <v>44</v>
      </c>
      <c r="B268" s="546" t="s">
        <v>1848</v>
      </c>
      <c r="C268" s="1039"/>
      <c r="D268" s="1002" t="s">
        <v>1849</v>
      </c>
      <c r="E268" s="413" t="s">
        <v>92</v>
      </c>
      <c r="F268" s="412">
        <v>1.05</v>
      </c>
      <c r="G268" s="414">
        <f>(130/4)+3</f>
        <v>35.5</v>
      </c>
      <c r="H268" s="1057">
        <f>F268*G268</f>
        <v>37.275</v>
      </c>
      <c r="I268" s="1002" t="s">
        <v>1831</v>
      </c>
      <c r="J268" s="412">
        <v>1</v>
      </c>
      <c r="K268" s="414">
        <v>1</v>
      </c>
      <c r="L268" s="414">
        <f>'Labour Cost'!F10</f>
        <v>31.499999999999996</v>
      </c>
      <c r="M268" s="412">
        <v>5</v>
      </c>
      <c r="N268" s="1090">
        <f>J268*K268*L268/M268</f>
        <v>6.299999999999999</v>
      </c>
      <c r="O268" s="1002" t="s">
        <v>277</v>
      </c>
      <c r="P268" s="417">
        <v>3</v>
      </c>
      <c r="Q268" s="417">
        <v>1</v>
      </c>
      <c r="R268" s="414">
        <f>R10</f>
        <v>0.32</v>
      </c>
      <c r="S268" s="412">
        <v>5</v>
      </c>
      <c r="T268" s="515">
        <f>P268*R268/S268</f>
        <v>0.192</v>
      </c>
      <c r="U268" s="507"/>
      <c r="V268" s="694"/>
    </row>
    <row r="269" spans="1:22" ht="12.75">
      <c r="A269" s="1002"/>
      <c r="B269" s="546" t="s">
        <v>195</v>
      </c>
      <c r="C269" s="1039" t="s">
        <v>92</v>
      </c>
      <c r="D269" s="1002" t="s">
        <v>1159</v>
      </c>
      <c r="E269" s="413" t="s">
        <v>3099</v>
      </c>
      <c r="F269" s="414">
        <v>0.1</v>
      </c>
      <c r="G269" s="414">
        <f>'Material price'!D97</f>
        <v>19.48</v>
      </c>
      <c r="H269" s="1059">
        <f>F269*G269</f>
        <v>1.9480000000000002</v>
      </c>
      <c r="I269" s="1002" t="s">
        <v>1149</v>
      </c>
      <c r="J269" s="412">
        <v>1</v>
      </c>
      <c r="K269" s="414">
        <v>1</v>
      </c>
      <c r="L269" s="415">
        <f>'Labour Cost'!F11</f>
        <v>26.25</v>
      </c>
      <c r="M269" s="412">
        <v>5</v>
      </c>
      <c r="N269" s="1090">
        <f>J269*K269*L269/M269</f>
        <v>5.25</v>
      </c>
      <c r="O269" s="1002"/>
      <c r="P269" s="412"/>
      <c r="Q269" s="412"/>
      <c r="R269" s="412"/>
      <c r="S269" s="412"/>
      <c r="T269" s="514"/>
      <c r="U269" s="507"/>
      <c r="V269" s="694"/>
    </row>
    <row r="270" spans="1:22" ht="12.75">
      <c r="A270" s="1002"/>
      <c r="B270" s="546"/>
      <c r="C270" s="1039"/>
      <c r="D270" s="1002"/>
      <c r="E270" s="413"/>
      <c r="F270" s="412"/>
      <c r="G270" s="414"/>
      <c r="H270" s="1057"/>
      <c r="I270" s="1002" t="s">
        <v>1834</v>
      </c>
      <c r="J270" s="412">
        <v>2</v>
      </c>
      <c r="K270" s="414">
        <v>1</v>
      </c>
      <c r="L270" s="415">
        <f>'Labour Cost'!F21</f>
        <v>8.75</v>
      </c>
      <c r="M270" s="412">
        <v>5</v>
      </c>
      <c r="N270" s="1090">
        <f>J270*K270*L270/M270</f>
        <v>3.5</v>
      </c>
      <c r="O270" s="1002"/>
      <c r="P270" s="412"/>
      <c r="Q270" s="412"/>
      <c r="R270" s="412"/>
      <c r="S270" s="412"/>
      <c r="T270" s="514"/>
      <c r="U270" s="507"/>
      <c r="V270" s="694"/>
    </row>
    <row r="271" spans="1:22" ht="12.75">
      <c r="A271" s="1002"/>
      <c r="B271" s="546"/>
      <c r="C271" s="1039"/>
      <c r="D271" s="1002"/>
      <c r="E271" s="413"/>
      <c r="F271" s="412"/>
      <c r="G271" s="414"/>
      <c r="H271" s="1057"/>
      <c r="I271" s="1002" t="s">
        <v>1835</v>
      </c>
      <c r="J271" s="412">
        <v>1</v>
      </c>
      <c r="K271" s="414">
        <v>0.2</v>
      </c>
      <c r="L271" s="414">
        <f>'Labour Cost'!F7</f>
        <v>20.81362580128205</v>
      </c>
      <c r="M271" s="412">
        <v>5</v>
      </c>
      <c r="N271" s="1090">
        <f>J271*K271*L271/M271</f>
        <v>0.8325450320512819</v>
      </c>
      <c r="O271" s="1002"/>
      <c r="P271" s="412"/>
      <c r="Q271" s="412"/>
      <c r="R271" s="412"/>
      <c r="S271" s="412"/>
      <c r="T271" s="514"/>
      <c r="U271" s="507"/>
      <c r="V271" s="694"/>
    </row>
    <row r="272" spans="1:22" ht="12.75">
      <c r="A272" s="1004"/>
      <c r="B272" s="548"/>
      <c r="C272" s="1040"/>
      <c r="D272" s="1004"/>
      <c r="E272" s="521"/>
      <c r="F272" s="520"/>
      <c r="G272" s="522"/>
      <c r="H272" s="1005">
        <f>SUM(H268:H271)</f>
        <v>39.223</v>
      </c>
      <c r="I272" s="1004"/>
      <c r="J272" s="520"/>
      <c r="K272" s="522"/>
      <c r="L272" s="520"/>
      <c r="M272" s="520"/>
      <c r="N272" s="1005">
        <f>SUM(N268:N271)</f>
        <v>15.882545032051281</v>
      </c>
      <c r="O272" s="1004"/>
      <c r="P272" s="520"/>
      <c r="Q272" s="520"/>
      <c r="R272" s="520"/>
      <c r="S272" s="520"/>
      <c r="T272" s="522">
        <f>SUM(T268:T271)</f>
        <v>0.192</v>
      </c>
      <c r="U272" s="522">
        <f>T272+N272+H272</f>
        <v>55.297545032051275</v>
      </c>
      <c r="V272" s="1005">
        <f>U272*$U$4</f>
        <v>74.56014347234591</v>
      </c>
    </row>
    <row r="273" spans="1:22" ht="12.75">
      <c r="A273" s="1002"/>
      <c r="B273" s="546"/>
      <c r="C273" s="1039"/>
      <c r="D273" s="1002"/>
      <c r="E273" s="413"/>
      <c r="F273" s="412"/>
      <c r="G273" s="414"/>
      <c r="H273" s="1057"/>
      <c r="I273" s="1002"/>
      <c r="J273" s="412"/>
      <c r="K273" s="414"/>
      <c r="L273" s="412"/>
      <c r="M273" s="412"/>
      <c r="N273" s="1090"/>
      <c r="O273" s="1002"/>
      <c r="P273" s="412"/>
      <c r="Q273" s="412"/>
      <c r="R273" s="412"/>
      <c r="S273" s="412"/>
      <c r="T273" s="515"/>
      <c r="U273" s="508"/>
      <c r="V273" s="694"/>
    </row>
    <row r="274" spans="1:22" ht="12.75">
      <c r="A274" s="1002">
        <v>45</v>
      </c>
      <c r="B274" s="546" t="s">
        <v>196</v>
      </c>
      <c r="C274" s="1039"/>
      <c r="D274" s="1002" t="s">
        <v>1850</v>
      </c>
      <c r="E274" s="413" t="s">
        <v>24</v>
      </c>
      <c r="F274" s="414">
        <v>1</v>
      </c>
      <c r="G274" s="414">
        <f>('Material price'!D34+20)</f>
        <v>1180</v>
      </c>
      <c r="H274" s="1059">
        <f>F274*G274</f>
        <v>1180</v>
      </c>
      <c r="I274" s="1002" t="s">
        <v>1861</v>
      </c>
      <c r="J274" s="412">
        <v>1</v>
      </c>
      <c r="K274" s="414">
        <v>1</v>
      </c>
      <c r="L274" s="414">
        <f>'Labour Cost'!F10</f>
        <v>31.499999999999996</v>
      </c>
      <c r="M274" s="414">
        <v>0.42</v>
      </c>
      <c r="N274" s="1090">
        <f aca="true" t="shared" si="8" ref="N274:N279">J274*K274*L274/M274</f>
        <v>75</v>
      </c>
      <c r="O274" s="1002" t="s">
        <v>277</v>
      </c>
      <c r="P274" s="417">
        <v>3</v>
      </c>
      <c r="Q274" s="417">
        <v>1</v>
      </c>
      <c r="R274" s="414">
        <f>R10</f>
        <v>0.32</v>
      </c>
      <c r="S274" s="414">
        <v>0.42</v>
      </c>
      <c r="T274" s="515">
        <f>P274*R274/S274</f>
        <v>2.2857142857142856</v>
      </c>
      <c r="U274" s="507"/>
      <c r="V274" s="694"/>
    </row>
    <row r="275" spans="1:22" ht="12.75">
      <c r="A275" s="1002"/>
      <c r="B275" s="546"/>
      <c r="C275" s="1039" t="s">
        <v>24</v>
      </c>
      <c r="D275" s="1002" t="s">
        <v>1852</v>
      </c>
      <c r="E275" s="413" t="s">
        <v>149</v>
      </c>
      <c r="F275" s="414">
        <v>0.5</v>
      </c>
      <c r="G275" s="414">
        <v>120</v>
      </c>
      <c r="H275" s="1059">
        <f>F275*G275</f>
        <v>60</v>
      </c>
      <c r="I275" s="1002" t="s">
        <v>197</v>
      </c>
      <c r="J275" s="412">
        <v>1</v>
      </c>
      <c r="K275" s="414">
        <v>1</v>
      </c>
      <c r="L275" s="415">
        <f>'Labour Cost'!F11</f>
        <v>26.25</v>
      </c>
      <c r="M275" s="414">
        <v>0.42</v>
      </c>
      <c r="N275" s="1090">
        <f t="shared" si="8"/>
        <v>62.5</v>
      </c>
      <c r="O275" s="1002"/>
      <c r="P275" s="412"/>
      <c r="Q275" s="412"/>
      <c r="R275" s="412"/>
      <c r="S275" s="412"/>
      <c r="T275" s="514"/>
      <c r="U275" s="507"/>
      <c r="V275" s="694"/>
    </row>
    <row r="276" spans="1:22" ht="12.75">
      <c r="A276" s="1002"/>
      <c r="B276" s="546"/>
      <c r="C276" s="1039"/>
      <c r="D276" s="1002" t="s">
        <v>1854</v>
      </c>
      <c r="E276" s="413" t="s">
        <v>24</v>
      </c>
      <c r="F276" s="414">
        <v>2</v>
      </c>
      <c r="G276" s="414">
        <v>18</v>
      </c>
      <c r="H276" s="1059">
        <f>F276*G276</f>
        <v>36</v>
      </c>
      <c r="I276" s="1002" t="s">
        <v>1855</v>
      </c>
      <c r="J276" s="412">
        <v>1</v>
      </c>
      <c r="K276" s="414">
        <v>0.25</v>
      </c>
      <c r="L276" s="415">
        <f>'Labour Cost'!F14</f>
        <v>26.25</v>
      </c>
      <c r="M276" s="414">
        <v>0.42</v>
      </c>
      <c r="N276" s="1090">
        <f t="shared" si="8"/>
        <v>15.625</v>
      </c>
      <c r="O276" s="1002"/>
      <c r="P276" s="412"/>
      <c r="Q276" s="412"/>
      <c r="R276" s="412"/>
      <c r="S276" s="412"/>
      <c r="T276" s="514"/>
      <c r="U276" s="507"/>
      <c r="V276" s="694"/>
    </row>
    <row r="277" spans="1:22" ht="12.75">
      <c r="A277" s="1002"/>
      <c r="B277" s="546"/>
      <c r="C277" s="1039"/>
      <c r="D277" s="1002" t="s">
        <v>1856</v>
      </c>
      <c r="E277" s="413" t="s">
        <v>149</v>
      </c>
      <c r="F277" s="414">
        <v>3</v>
      </c>
      <c r="G277" s="414">
        <v>15</v>
      </c>
      <c r="H277" s="1059">
        <f>F277*G277</f>
        <v>45</v>
      </c>
      <c r="I277" s="1002" t="s">
        <v>1857</v>
      </c>
      <c r="J277" s="412">
        <v>1</v>
      </c>
      <c r="K277" s="414">
        <v>0.25</v>
      </c>
      <c r="L277" s="415">
        <f>'Labour Cost'!F12</f>
        <v>35</v>
      </c>
      <c r="M277" s="414">
        <v>0.42</v>
      </c>
      <c r="N277" s="1090">
        <f t="shared" si="8"/>
        <v>20.833333333333336</v>
      </c>
      <c r="O277" s="1002"/>
      <c r="P277" s="412"/>
      <c r="Q277" s="412"/>
      <c r="R277" s="412"/>
      <c r="S277" s="412"/>
      <c r="T277" s="514"/>
      <c r="U277" s="507"/>
      <c r="V277" s="694"/>
    </row>
    <row r="278" spans="1:22" ht="12.75">
      <c r="A278" s="1002"/>
      <c r="B278" s="546"/>
      <c r="C278" s="1039"/>
      <c r="D278" s="1002"/>
      <c r="E278" s="413"/>
      <c r="F278" s="412"/>
      <c r="G278" s="412"/>
      <c r="H278" s="1057"/>
      <c r="I278" s="1002" t="s">
        <v>275</v>
      </c>
      <c r="J278" s="412">
        <v>1</v>
      </c>
      <c r="K278" s="414">
        <v>0.2</v>
      </c>
      <c r="L278" s="414">
        <f>'Labour Cost'!F7</f>
        <v>20.81362580128205</v>
      </c>
      <c r="M278" s="414">
        <v>0.42</v>
      </c>
      <c r="N278" s="1090">
        <f t="shared" si="8"/>
        <v>9.911250381562882</v>
      </c>
      <c r="O278" s="1002"/>
      <c r="P278" s="412"/>
      <c r="Q278" s="412"/>
      <c r="R278" s="412"/>
      <c r="S278" s="412"/>
      <c r="T278" s="514"/>
      <c r="U278" s="507"/>
      <c r="V278" s="694"/>
    </row>
    <row r="279" spans="1:22" ht="12.75">
      <c r="A279" s="1002"/>
      <c r="B279" s="546"/>
      <c r="C279" s="1039"/>
      <c r="D279" s="1002"/>
      <c r="E279" s="413"/>
      <c r="F279" s="412"/>
      <c r="G279" s="412"/>
      <c r="H279" s="1057"/>
      <c r="I279" s="1002" t="s">
        <v>1168</v>
      </c>
      <c r="J279" s="412">
        <v>2</v>
      </c>
      <c r="K279" s="414">
        <v>1</v>
      </c>
      <c r="L279" s="415">
        <f>'Labour Cost'!F21</f>
        <v>8.75</v>
      </c>
      <c r="M279" s="414">
        <v>0.42</v>
      </c>
      <c r="N279" s="1090">
        <f t="shared" si="8"/>
        <v>41.66666666666667</v>
      </c>
      <c r="O279" s="1002"/>
      <c r="P279" s="412"/>
      <c r="Q279" s="412"/>
      <c r="R279" s="412"/>
      <c r="S279" s="412"/>
      <c r="T279" s="514"/>
      <c r="U279" s="507"/>
      <c r="V279" s="694"/>
    </row>
    <row r="280" spans="1:23" ht="12.75">
      <c r="A280" s="1004"/>
      <c r="B280" s="548"/>
      <c r="C280" s="1040"/>
      <c r="D280" s="1004"/>
      <c r="E280" s="521"/>
      <c r="F280" s="520"/>
      <c r="G280" s="520"/>
      <c r="H280" s="1005">
        <f>SUM(H274:H279)</f>
        <v>1321</v>
      </c>
      <c r="I280" s="1004"/>
      <c r="J280" s="520"/>
      <c r="K280" s="522"/>
      <c r="L280" s="520"/>
      <c r="M280" s="520"/>
      <c r="N280" s="1005">
        <f>SUM(N274:N279)</f>
        <v>225.53625038156292</v>
      </c>
      <c r="O280" s="1004"/>
      <c r="P280" s="520"/>
      <c r="Q280" s="520"/>
      <c r="R280" s="520"/>
      <c r="S280" s="520"/>
      <c r="T280" s="522">
        <f>SUM(T274:T279)</f>
        <v>2.2857142857142856</v>
      </c>
      <c r="U280" s="522">
        <f>T280+N280+H280</f>
        <v>1548.8219646672771</v>
      </c>
      <c r="V280" s="1005">
        <f>U280*$U$4</f>
        <v>2088.3456549794155</v>
      </c>
      <c r="W280" s="409"/>
    </row>
    <row r="281" spans="1:22" s="438" customFormat="1" ht="12.75">
      <c r="A281" s="1008"/>
      <c r="B281" s="549"/>
      <c r="C281" s="1047"/>
      <c r="D281" s="1008"/>
      <c r="E281" s="453"/>
      <c r="F281" s="420"/>
      <c r="G281" s="420"/>
      <c r="H281" s="1059"/>
      <c r="I281" s="1008"/>
      <c r="J281" s="420"/>
      <c r="K281" s="416"/>
      <c r="L281" s="420"/>
      <c r="M281" s="420"/>
      <c r="N281" s="1090"/>
      <c r="O281" s="1008"/>
      <c r="P281" s="420"/>
      <c r="Q281" s="420"/>
      <c r="R281" s="420"/>
      <c r="S281" s="420"/>
      <c r="T281" s="515"/>
      <c r="U281" s="508"/>
      <c r="V281" s="1005"/>
    </row>
    <row r="282" spans="1:22" s="64" customFormat="1" ht="27" customHeight="1">
      <c r="A282" s="1009">
        <v>46</v>
      </c>
      <c r="B282" s="550" t="s">
        <v>1691</v>
      </c>
      <c r="C282" s="1039" t="s">
        <v>24</v>
      </c>
      <c r="D282" s="1071" t="s">
        <v>1692</v>
      </c>
      <c r="E282" s="410" t="s">
        <v>1840</v>
      </c>
      <c r="F282" s="410">
        <v>1.05</v>
      </c>
      <c r="G282" s="411">
        <f>(120/(1.25*2.5))+5</f>
        <v>43.4</v>
      </c>
      <c r="H282" s="1065">
        <f aca="true" t="shared" si="9" ref="H282:H287">F282*G282</f>
        <v>45.57</v>
      </c>
      <c r="I282" s="1011" t="s">
        <v>1288</v>
      </c>
      <c r="J282" s="410">
        <v>1</v>
      </c>
      <c r="K282" s="410">
        <v>0.1</v>
      </c>
      <c r="L282" s="498">
        <f>'Labour Cost'!F7</f>
        <v>20.81362580128205</v>
      </c>
      <c r="M282" s="410">
        <v>0.63</v>
      </c>
      <c r="N282" s="1089">
        <f>J282*K282*L282/M282</f>
        <v>3.303750127187627</v>
      </c>
      <c r="O282" s="1002" t="s">
        <v>277</v>
      </c>
      <c r="P282" s="417">
        <v>3</v>
      </c>
      <c r="Q282" s="417">
        <v>1</v>
      </c>
      <c r="R282" s="414">
        <f>R10</f>
        <v>0.32</v>
      </c>
      <c r="S282" s="414">
        <v>0.63</v>
      </c>
      <c r="T282" s="515">
        <f>P282*R282/S282</f>
        <v>1.5238095238095237</v>
      </c>
      <c r="U282" s="517"/>
      <c r="V282" s="1005"/>
    </row>
    <row r="283" spans="1:22" s="64" customFormat="1" ht="22.5">
      <c r="A283" s="1011"/>
      <c r="B283" s="546"/>
      <c r="C283" s="436"/>
      <c r="D283" s="1071" t="s">
        <v>1693</v>
      </c>
      <c r="E283" s="410" t="s">
        <v>92</v>
      </c>
      <c r="F283" s="410">
        <v>4</v>
      </c>
      <c r="G283" s="411">
        <f>'Material price'!D40</f>
        <v>166.47</v>
      </c>
      <c r="H283" s="1065">
        <f t="shared" si="9"/>
        <v>665.88</v>
      </c>
      <c r="I283" s="1011" t="s">
        <v>1853</v>
      </c>
      <c r="J283" s="410">
        <v>1</v>
      </c>
      <c r="K283" s="410">
        <v>1</v>
      </c>
      <c r="L283" s="498">
        <f>'Labour Cost'!F10</f>
        <v>31.499999999999996</v>
      </c>
      <c r="M283" s="410">
        <v>0.63</v>
      </c>
      <c r="N283" s="1089">
        <f>J283*K283*L283/M283</f>
        <v>49.99999999999999</v>
      </c>
      <c r="O283" s="1011"/>
      <c r="P283" s="410"/>
      <c r="Q283" s="410"/>
      <c r="R283" s="410"/>
      <c r="S283" s="410"/>
      <c r="T283" s="513"/>
      <c r="U283" s="517"/>
      <c r="V283" s="1005"/>
    </row>
    <row r="284" spans="1:22" s="64" customFormat="1" ht="25.5" customHeight="1">
      <c r="A284" s="1011"/>
      <c r="B284" s="546"/>
      <c r="C284" s="436"/>
      <c r="D284" s="1071" t="s">
        <v>395</v>
      </c>
      <c r="E284" s="410" t="s">
        <v>92</v>
      </c>
      <c r="F284" s="410">
        <v>1.25</v>
      </c>
      <c r="G284" s="411">
        <v>2</v>
      </c>
      <c r="H284" s="1065">
        <f t="shared" si="9"/>
        <v>2.5</v>
      </c>
      <c r="I284" s="1011" t="s">
        <v>197</v>
      </c>
      <c r="J284" s="410">
        <v>1</v>
      </c>
      <c r="K284" s="410">
        <v>1</v>
      </c>
      <c r="L284" s="498">
        <f>'Labour Cost'!F11</f>
        <v>26.25</v>
      </c>
      <c r="M284" s="410">
        <v>0.63</v>
      </c>
      <c r="N284" s="1089">
        <f>J284*K284*L284/M284</f>
        <v>41.666666666666664</v>
      </c>
      <c r="O284" s="1011"/>
      <c r="P284" s="410"/>
      <c r="Q284" s="410"/>
      <c r="R284" s="410"/>
      <c r="S284" s="410"/>
      <c r="T284" s="513"/>
      <c r="U284" s="517"/>
      <c r="V284" s="1005"/>
    </row>
    <row r="285" spans="1:22" s="64" customFormat="1" ht="25.5" customHeight="1">
      <c r="A285" s="1011"/>
      <c r="B285" s="546"/>
      <c r="C285" s="436"/>
      <c r="D285" s="1071" t="s">
        <v>1694</v>
      </c>
      <c r="E285" s="410" t="s">
        <v>92</v>
      </c>
      <c r="F285" s="410">
        <v>1.25</v>
      </c>
      <c r="G285" s="411">
        <v>2</v>
      </c>
      <c r="H285" s="1065">
        <f t="shared" si="9"/>
        <v>2.5</v>
      </c>
      <c r="I285" s="1011" t="s">
        <v>273</v>
      </c>
      <c r="J285" s="410">
        <v>2</v>
      </c>
      <c r="K285" s="410">
        <v>1</v>
      </c>
      <c r="L285" s="498">
        <f>'Labour Cost'!F21</f>
        <v>8.75</v>
      </c>
      <c r="M285" s="410">
        <v>0.63</v>
      </c>
      <c r="N285" s="1089">
        <f>J285*K285*L285/M285</f>
        <v>27.77777777777778</v>
      </c>
      <c r="O285" s="1011"/>
      <c r="P285" s="410"/>
      <c r="Q285" s="410"/>
      <c r="R285" s="410"/>
      <c r="S285" s="410"/>
      <c r="T285" s="513"/>
      <c r="U285" s="517"/>
      <c r="V285" s="1005"/>
    </row>
    <row r="286" spans="1:22" s="64" customFormat="1" ht="12.75">
      <c r="A286" s="1011"/>
      <c r="B286" s="546"/>
      <c r="C286" s="436"/>
      <c r="D286" s="1261" t="s">
        <v>1695</v>
      </c>
      <c r="E286" s="410" t="s">
        <v>86</v>
      </c>
      <c r="F286" s="410">
        <v>0.17</v>
      </c>
      <c r="G286" s="411">
        <f>'Material price'!D97</f>
        <v>19.48</v>
      </c>
      <c r="H286" s="1065">
        <f t="shared" si="9"/>
        <v>3.3116000000000003</v>
      </c>
      <c r="I286" s="1011"/>
      <c r="J286" s="410"/>
      <c r="K286" s="410"/>
      <c r="L286" s="410"/>
      <c r="M286" s="410"/>
      <c r="N286" s="1089"/>
      <c r="O286" s="1011"/>
      <c r="P286" s="410"/>
      <c r="Q286" s="410"/>
      <c r="R286" s="410"/>
      <c r="S286" s="410"/>
      <c r="T286" s="513"/>
      <c r="U286" s="517"/>
      <c r="V286" s="1005"/>
    </row>
    <row r="287" spans="1:22" s="64" customFormat="1" ht="12.75">
      <c r="A287" s="1011"/>
      <c r="B287" s="546"/>
      <c r="C287" s="436"/>
      <c r="D287" s="1011" t="s">
        <v>1696</v>
      </c>
      <c r="E287" s="410" t="s">
        <v>92</v>
      </c>
      <c r="F287" s="410">
        <v>0.25</v>
      </c>
      <c r="G287" s="411">
        <v>5</v>
      </c>
      <c r="H287" s="1065">
        <f t="shared" si="9"/>
        <v>1.25</v>
      </c>
      <c r="I287" s="1011"/>
      <c r="J287" s="410"/>
      <c r="K287" s="410"/>
      <c r="L287" s="410"/>
      <c r="M287" s="410"/>
      <c r="N287" s="1089"/>
      <c r="O287" s="1011"/>
      <c r="P287" s="410"/>
      <c r="Q287" s="410"/>
      <c r="R287" s="410"/>
      <c r="S287" s="410"/>
      <c r="T287" s="513"/>
      <c r="U287" s="517"/>
      <c r="V287" s="1005"/>
    </row>
    <row r="288" spans="1:22" s="64" customFormat="1" ht="12.75">
      <c r="A288" s="1025"/>
      <c r="B288" s="548"/>
      <c r="C288" s="1048"/>
      <c r="D288" s="1025"/>
      <c r="E288" s="543"/>
      <c r="F288" s="543"/>
      <c r="G288" s="543"/>
      <c r="H288" s="1066">
        <f>SUM(H282:H287)</f>
        <v>721.0116</v>
      </c>
      <c r="I288" s="1025"/>
      <c r="J288" s="543"/>
      <c r="K288" s="543"/>
      <c r="L288" s="543"/>
      <c r="M288" s="543"/>
      <c r="N288" s="1094">
        <f>SUM(N282:N287)</f>
        <v>122.74819457163207</v>
      </c>
      <c r="O288" s="1025"/>
      <c r="P288" s="543"/>
      <c r="Q288" s="543"/>
      <c r="R288" s="543"/>
      <c r="S288" s="543"/>
      <c r="T288" s="1026">
        <f>SUM(T282:T287)</f>
        <v>1.5238095238095237</v>
      </c>
      <c r="U288" s="543">
        <f>H288+N288+T288</f>
        <v>845.2836040954417</v>
      </c>
      <c r="V288" s="1005">
        <f>U288*$U$4</f>
        <v>1139.7335407864464</v>
      </c>
    </row>
    <row r="289" spans="1:22" s="64" customFormat="1" ht="12.75">
      <c r="A289" s="1011"/>
      <c r="B289" s="546"/>
      <c r="C289" s="436"/>
      <c r="D289" s="1011"/>
      <c r="E289" s="410"/>
      <c r="F289" s="410"/>
      <c r="G289" s="410"/>
      <c r="H289" s="1065"/>
      <c r="I289" s="1011"/>
      <c r="J289" s="410"/>
      <c r="K289" s="410"/>
      <c r="L289" s="410"/>
      <c r="M289" s="410"/>
      <c r="N289" s="1089"/>
      <c r="O289" s="1011"/>
      <c r="P289" s="410"/>
      <c r="Q289" s="410"/>
      <c r="R289" s="410"/>
      <c r="S289" s="410"/>
      <c r="T289" s="513"/>
      <c r="U289" s="517"/>
      <c r="V289" s="1024"/>
    </row>
    <row r="290" spans="1:22" ht="33.75" customHeight="1">
      <c r="A290" s="1002"/>
      <c r="B290" s="1320" t="s">
        <v>1858</v>
      </c>
      <c r="C290" s="1321"/>
      <c r="D290" s="1060"/>
      <c r="E290" s="1042"/>
      <c r="F290" s="1042"/>
      <c r="G290" s="1042"/>
      <c r="H290" s="1067"/>
      <c r="I290" s="1060"/>
      <c r="J290" s="412"/>
      <c r="K290" s="414"/>
      <c r="L290" s="412"/>
      <c r="M290" s="412"/>
      <c r="N290" s="1091"/>
      <c r="O290" s="1002"/>
      <c r="P290" s="412"/>
      <c r="Q290" s="412"/>
      <c r="R290" s="412"/>
      <c r="S290" s="412"/>
      <c r="T290" s="515"/>
      <c r="U290" s="507"/>
      <c r="V290" s="694"/>
    </row>
    <row r="291" spans="1:22" ht="12.75">
      <c r="A291" s="1002"/>
      <c r="B291" s="412"/>
      <c r="C291" s="1039"/>
      <c r="D291" s="1002"/>
      <c r="E291" s="413"/>
      <c r="F291" s="412"/>
      <c r="G291" s="412"/>
      <c r="H291" s="1057"/>
      <c r="I291" s="1002"/>
      <c r="J291" s="412"/>
      <c r="K291" s="414"/>
      <c r="L291" s="412"/>
      <c r="M291" s="412"/>
      <c r="N291" s="1091"/>
      <c r="O291" s="1002"/>
      <c r="P291" s="412"/>
      <c r="Q291" s="412"/>
      <c r="R291" s="412"/>
      <c r="S291" s="412"/>
      <c r="T291" s="515"/>
      <c r="U291" s="507"/>
      <c r="V291" s="694"/>
    </row>
    <row r="292" spans="1:22" ht="12.75">
      <c r="A292" s="1002">
        <v>47</v>
      </c>
      <c r="B292" s="412" t="s">
        <v>1859</v>
      </c>
      <c r="C292" s="1039"/>
      <c r="D292" s="1002" t="s">
        <v>1860</v>
      </c>
      <c r="E292" s="413" t="s">
        <v>24</v>
      </c>
      <c r="F292" s="414">
        <v>1</v>
      </c>
      <c r="G292" s="414">
        <f>500</f>
        <v>500</v>
      </c>
      <c r="H292" s="1059">
        <f>F292*G292</f>
        <v>500</v>
      </c>
      <c r="I292" s="1002" t="s">
        <v>1851</v>
      </c>
      <c r="J292" s="412">
        <v>1</v>
      </c>
      <c r="K292" s="414">
        <v>1</v>
      </c>
      <c r="L292" s="414">
        <f aca="true" t="shared" si="10" ref="L292:L297">L274</f>
        <v>31.499999999999996</v>
      </c>
      <c r="M292" s="414">
        <v>0.75</v>
      </c>
      <c r="N292" s="1090">
        <f aca="true" t="shared" si="11" ref="N292:N297">J292*K292*L292/M292</f>
        <v>41.99999999999999</v>
      </c>
      <c r="O292" s="1002" t="s">
        <v>277</v>
      </c>
      <c r="P292" s="417">
        <v>3</v>
      </c>
      <c r="Q292" s="417">
        <v>1</v>
      </c>
      <c r="R292" s="414">
        <f>R10</f>
        <v>0.32</v>
      </c>
      <c r="S292" s="414">
        <v>0.75</v>
      </c>
      <c r="T292" s="515">
        <f>P292*R292/S292</f>
        <v>1.28</v>
      </c>
      <c r="U292" s="507"/>
      <c r="V292" s="694"/>
    </row>
    <row r="293" spans="1:22" ht="12.75">
      <c r="A293" s="1002"/>
      <c r="B293" s="412"/>
      <c r="C293" s="1039"/>
      <c r="D293" s="1002" t="s">
        <v>1852</v>
      </c>
      <c r="E293" s="413" t="s">
        <v>149</v>
      </c>
      <c r="F293" s="414">
        <v>0.5</v>
      </c>
      <c r="G293" s="414">
        <v>120</v>
      </c>
      <c r="H293" s="1059">
        <f>F293*G293</f>
        <v>60</v>
      </c>
      <c r="I293" s="1002" t="s">
        <v>1861</v>
      </c>
      <c r="J293" s="412">
        <v>1</v>
      </c>
      <c r="K293" s="414">
        <v>1</v>
      </c>
      <c r="L293" s="415">
        <f t="shared" si="10"/>
        <v>26.25</v>
      </c>
      <c r="M293" s="412">
        <v>0.75</v>
      </c>
      <c r="N293" s="1090">
        <f t="shared" si="11"/>
        <v>35</v>
      </c>
      <c r="O293" s="1002"/>
      <c r="P293" s="412"/>
      <c r="Q293" s="412"/>
      <c r="R293" s="412"/>
      <c r="S293" s="412"/>
      <c r="T293" s="514"/>
      <c r="U293" s="507"/>
      <c r="V293" s="694"/>
    </row>
    <row r="294" spans="1:22" ht="12.75">
      <c r="A294" s="1002"/>
      <c r="B294" s="412"/>
      <c r="C294" s="1039"/>
      <c r="D294" s="1002" t="s">
        <v>1862</v>
      </c>
      <c r="E294" s="413" t="s">
        <v>24</v>
      </c>
      <c r="F294" s="414">
        <v>2</v>
      </c>
      <c r="G294" s="414">
        <v>8</v>
      </c>
      <c r="H294" s="1059">
        <f>F294*G294</f>
        <v>16</v>
      </c>
      <c r="I294" s="1002" t="s">
        <v>1855</v>
      </c>
      <c r="J294" s="412">
        <v>1</v>
      </c>
      <c r="K294" s="414">
        <v>0.25</v>
      </c>
      <c r="L294" s="415">
        <f t="shared" si="10"/>
        <v>26.25</v>
      </c>
      <c r="M294" s="412">
        <v>0.75</v>
      </c>
      <c r="N294" s="1090">
        <f t="shared" si="11"/>
        <v>8.75</v>
      </c>
      <c r="O294" s="1002"/>
      <c r="P294" s="412"/>
      <c r="Q294" s="412"/>
      <c r="R294" s="412"/>
      <c r="S294" s="412"/>
      <c r="T294" s="514"/>
      <c r="U294" s="507"/>
      <c r="V294" s="694"/>
    </row>
    <row r="295" spans="1:22" ht="12.75">
      <c r="A295" s="1002"/>
      <c r="B295" s="412"/>
      <c r="C295" s="1039"/>
      <c r="D295" s="1002" t="s">
        <v>1863</v>
      </c>
      <c r="E295" s="413" t="s">
        <v>149</v>
      </c>
      <c r="F295" s="414">
        <v>3</v>
      </c>
      <c r="G295" s="414">
        <v>10</v>
      </c>
      <c r="H295" s="1059">
        <f>F295*G295</f>
        <v>30</v>
      </c>
      <c r="I295" s="1002" t="s">
        <v>1857</v>
      </c>
      <c r="J295" s="412">
        <v>1</v>
      </c>
      <c r="K295" s="414">
        <v>0.25</v>
      </c>
      <c r="L295" s="415">
        <f t="shared" si="10"/>
        <v>35</v>
      </c>
      <c r="M295" s="412">
        <v>0.75</v>
      </c>
      <c r="N295" s="1090">
        <f t="shared" si="11"/>
        <v>11.666666666666666</v>
      </c>
      <c r="O295" s="1002"/>
      <c r="P295" s="412"/>
      <c r="Q295" s="412"/>
      <c r="R295" s="412"/>
      <c r="S295" s="412"/>
      <c r="T295" s="514"/>
      <c r="U295" s="507"/>
      <c r="V295" s="694"/>
    </row>
    <row r="296" spans="1:22" ht="12.75">
      <c r="A296" s="1002"/>
      <c r="B296" s="412"/>
      <c r="C296" s="1039"/>
      <c r="D296" s="1002"/>
      <c r="E296" s="413"/>
      <c r="F296" s="412"/>
      <c r="G296" s="414"/>
      <c r="H296" s="1057"/>
      <c r="I296" s="1002" t="s">
        <v>275</v>
      </c>
      <c r="J296" s="412">
        <v>1</v>
      </c>
      <c r="K296" s="414">
        <v>0.2</v>
      </c>
      <c r="L296" s="414">
        <f t="shared" si="10"/>
        <v>20.81362580128205</v>
      </c>
      <c r="M296" s="412">
        <v>0.75</v>
      </c>
      <c r="N296" s="1090">
        <f t="shared" si="11"/>
        <v>5.5503002136752135</v>
      </c>
      <c r="O296" s="1002"/>
      <c r="P296" s="412"/>
      <c r="Q296" s="412"/>
      <c r="R296" s="412"/>
      <c r="S296" s="412"/>
      <c r="T296" s="514"/>
      <c r="U296" s="507"/>
      <c r="V296" s="694"/>
    </row>
    <row r="297" spans="1:22" ht="12.75">
      <c r="A297" s="1002"/>
      <c r="B297" s="412"/>
      <c r="C297" s="1039"/>
      <c r="D297" s="1002"/>
      <c r="E297" s="413"/>
      <c r="F297" s="412"/>
      <c r="G297" s="414"/>
      <c r="H297" s="1057"/>
      <c r="I297" s="1002" t="s">
        <v>1168</v>
      </c>
      <c r="J297" s="412">
        <v>2</v>
      </c>
      <c r="K297" s="414">
        <v>1</v>
      </c>
      <c r="L297" s="415">
        <f t="shared" si="10"/>
        <v>8.75</v>
      </c>
      <c r="M297" s="412">
        <v>0.75</v>
      </c>
      <c r="N297" s="1090">
        <f t="shared" si="11"/>
        <v>23.333333333333332</v>
      </c>
      <c r="O297" s="1002"/>
      <c r="P297" s="412"/>
      <c r="Q297" s="412"/>
      <c r="R297" s="412"/>
      <c r="S297" s="412"/>
      <c r="T297" s="514"/>
      <c r="U297" s="507"/>
      <c r="V297" s="694"/>
    </row>
    <row r="298" spans="1:22" ht="12.75">
      <c r="A298" s="1004"/>
      <c r="B298" s="520"/>
      <c r="C298" s="1040"/>
      <c r="D298" s="1004"/>
      <c r="E298" s="521"/>
      <c r="F298" s="520"/>
      <c r="G298" s="522"/>
      <c r="H298" s="1005">
        <f>SUM(H292:H297)</f>
        <v>606</v>
      </c>
      <c r="I298" s="1004"/>
      <c r="J298" s="520"/>
      <c r="K298" s="522"/>
      <c r="L298" s="520"/>
      <c r="M298" s="520"/>
      <c r="N298" s="1005">
        <f>SUM(N292:N297)</f>
        <v>126.30030021367521</v>
      </c>
      <c r="O298" s="1004"/>
      <c r="P298" s="520"/>
      <c r="Q298" s="520"/>
      <c r="R298" s="520"/>
      <c r="S298" s="520"/>
      <c r="T298" s="522">
        <v>0.64</v>
      </c>
      <c r="U298" s="522">
        <f>T298+N298+H298</f>
        <v>732.9403002136752</v>
      </c>
      <c r="V298" s="1005">
        <f>U298*$U$4</f>
        <v>988.2560592684728</v>
      </c>
    </row>
    <row r="299" spans="1:22" ht="12.75">
      <c r="A299" s="1002"/>
      <c r="B299" s="412"/>
      <c r="C299" s="1039"/>
      <c r="D299" s="1002"/>
      <c r="E299" s="413"/>
      <c r="F299" s="412"/>
      <c r="G299" s="414"/>
      <c r="H299" s="1057"/>
      <c r="I299" s="1002"/>
      <c r="J299" s="412"/>
      <c r="K299" s="414"/>
      <c r="L299" s="412"/>
      <c r="M299" s="412"/>
      <c r="N299" s="1091"/>
      <c r="O299" s="1002"/>
      <c r="P299" s="412"/>
      <c r="Q299" s="412"/>
      <c r="R299" s="412"/>
      <c r="S299" s="412"/>
      <c r="T299" s="515"/>
      <c r="U299" s="507"/>
      <c r="V299" s="694"/>
    </row>
    <row r="300" spans="1:22" ht="12.75">
      <c r="A300" s="1002">
        <v>48</v>
      </c>
      <c r="B300" s="546" t="s">
        <v>1646</v>
      </c>
      <c r="C300" s="1039"/>
      <c r="D300" s="1002" t="s">
        <v>1645</v>
      </c>
      <c r="E300" s="413" t="s">
        <v>24</v>
      </c>
      <c r="F300" s="414">
        <v>1</v>
      </c>
      <c r="G300" s="414">
        <f>G292</f>
        <v>500</v>
      </c>
      <c r="H300" s="1059">
        <f>F300*G300</f>
        <v>500</v>
      </c>
      <c r="I300" s="1002" t="s">
        <v>1851</v>
      </c>
      <c r="J300" s="412">
        <v>1</v>
      </c>
      <c r="K300" s="414">
        <v>1</v>
      </c>
      <c r="L300" s="414">
        <f aca="true" t="shared" si="12" ref="L300:L305">L292</f>
        <v>31.499999999999996</v>
      </c>
      <c r="M300" s="414">
        <v>0.75</v>
      </c>
      <c r="N300" s="1090">
        <f aca="true" t="shared" si="13" ref="N300:N305">J300*K300*L300/M300</f>
        <v>41.99999999999999</v>
      </c>
      <c r="O300" s="1002" t="s">
        <v>277</v>
      </c>
      <c r="P300" s="417">
        <v>3</v>
      </c>
      <c r="Q300" s="417">
        <v>1</v>
      </c>
      <c r="R300" s="414">
        <f>R10</f>
        <v>0.32</v>
      </c>
      <c r="S300" s="414">
        <v>0.75</v>
      </c>
      <c r="T300" s="515">
        <f>P300*R300/S300</f>
        <v>1.28</v>
      </c>
      <c r="U300" s="507"/>
      <c r="V300" s="694"/>
    </row>
    <row r="301" spans="1:22" ht="12.75">
      <c r="A301" s="1002"/>
      <c r="B301" s="546"/>
      <c r="C301" s="1039"/>
      <c r="D301" s="1002"/>
      <c r="E301" s="413"/>
      <c r="F301" s="414"/>
      <c r="G301" s="414"/>
      <c r="H301" s="1059">
        <f>F301*G301</f>
        <v>0</v>
      </c>
      <c r="I301" s="1002" t="s">
        <v>1861</v>
      </c>
      <c r="J301" s="412">
        <v>1</v>
      </c>
      <c r="K301" s="414">
        <v>1</v>
      </c>
      <c r="L301" s="415">
        <f t="shared" si="12"/>
        <v>26.25</v>
      </c>
      <c r="M301" s="412">
        <v>0.75</v>
      </c>
      <c r="N301" s="1090">
        <f t="shared" si="13"/>
        <v>35</v>
      </c>
      <c r="O301" s="1002"/>
      <c r="P301" s="412"/>
      <c r="Q301" s="412"/>
      <c r="R301" s="412"/>
      <c r="S301" s="412"/>
      <c r="T301" s="514"/>
      <c r="U301" s="507"/>
      <c r="V301" s="694"/>
    </row>
    <row r="302" spans="1:22" ht="12.75">
      <c r="A302" s="1002"/>
      <c r="B302" s="546"/>
      <c r="C302" s="1039"/>
      <c r="D302" s="1002" t="s">
        <v>1862</v>
      </c>
      <c r="E302" s="413" t="s">
        <v>24</v>
      </c>
      <c r="F302" s="414">
        <v>2</v>
      </c>
      <c r="G302" s="414">
        <v>8</v>
      </c>
      <c r="H302" s="1059">
        <f>F302*G302</f>
        <v>16</v>
      </c>
      <c r="I302" s="1002" t="s">
        <v>1855</v>
      </c>
      <c r="J302" s="412">
        <v>1</v>
      </c>
      <c r="K302" s="414">
        <v>0.25</v>
      </c>
      <c r="L302" s="415">
        <f t="shared" si="12"/>
        <v>26.25</v>
      </c>
      <c r="M302" s="412">
        <v>0.75</v>
      </c>
      <c r="N302" s="1090">
        <f t="shared" si="13"/>
        <v>8.75</v>
      </c>
      <c r="O302" s="1002"/>
      <c r="P302" s="412"/>
      <c r="Q302" s="412"/>
      <c r="R302" s="412"/>
      <c r="S302" s="412"/>
      <c r="T302" s="514"/>
      <c r="U302" s="507"/>
      <c r="V302" s="694"/>
    </row>
    <row r="303" spans="1:22" ht="12.75">
      <c r="A303" s="1002"/>
      <c r="B303" s="546"/>
      <c r="C303" s="1039"/>
      <c r="D303" s="1002" t="s">
        <v>1863</v>
      </c>
      <c r="E303" s="413" t="s">
        <v>149</v>
      </c>
      <c r="F303" s="414">
        <v>3</v>
      </c>
      <c r="G303" s="414">
        <v>10</v>
      </c>
      <c r="H303" s="1059">
        <f>F303*G303</f>
        <v>30</v>
      </c>
      <c r="I303" s="1002" t="s">
        <v>1857</v>
      </c>
      <c r="J303" s="412">
        <v>1</v>
      </c>
      <c r="K303" s="414">
        <v>0.25</v>
      </c>
      <c r="L303" s="415">
        <f t="shared" si="12"/>
        <v>35</v>
      </c>
      <c r="M303" s="412">
        <v>0.75</v>
      </c>
      <c r="N303" s="1090">
        <f t="shared" si="13"/>
        <v>11.666666666666666</v>
      </c>
      <c r="O303" s="1002"/>
      <c r="P303" s="412"/>
      <c r="Q303" s="412"/>
      <c r="R303" s="412"/>
      <c r="S303" s="412"/>
      <c r="T303" s="514"/>
      <c r="U303" s="507"/>
      <c r="V303" s="694"/>
    </row>
    <row r="304" spans="1:22" ht="12.75">
      <c r="A304" s="1002"/>
      <c r="B304" s="546"/>
      <c r="C304" s="1039"/>
      <c r="D304" s="1002"/>
      <c r="E304" s="413"/>
      <c r="F304" s="412"/>
      <c r="G304" s="412"/>
      <c r="H304" s="1057"/>
      <c r="I304" s="1002" t="s">
        <v>275</v>
      </c>
      <c r="J304" s="412">
        <v>1</v>
      </c>
      <c r="K304" s="414">
        <v>0.2</v>
      </c>
      <c r="L304" s="414">
        <f t="shared" si="12"/>
        <v>20.81362580128205</v>
      </c>
      <c r="M304" s="412">
        <v>0.75</v>
      </c>
      <c r="N304" s="1090">
        <f t="shared" si="13"/>
        <v>5.5503002136752135</v>
      </c>
      <c r="O304" s="1002"/>
      <c r="P304" s="412"/>
      <c r="Q304" s="412"/>
      <c r="R304" s="412"/>
      <c r="S304" s="412"/>
      <c r="T304" s="514"/>
      <c r="U304" s="507"/>
      <c r="V304" s="694"/>
    </row>
    <row r="305" spans="1:22" ht="12.75">
      <c r="A305" s="1002"/>
      <c r="B305" s="546"/>
      <c r="C305" s="1039"/>
      <c r="D305" s="1002"/>
      <c r="E305" s="413"/>
      <c r="F305" s="412"/>
      <c r="G305" s="412"/>
      <c r="H305" s="1057"/>
      <c r="I305" s="1002" t="s">
        <v>1168</v>
      </c>
      <c r="J305" s="412">
        <v>2</v>
      </c>
      <c r="K305" s="414">
        <v>1</v>
      </c>
      <c r="L305" s="415">
        <f t="shared" si="12"/>
        <v>8.75</v>
      </c>
      <c r="M305" s="412">
        <v>0.75</v>
      </c>
      <c r="N305" s="1090">
        <f t="shared" si="13"/>
        <v>23.333333333333332</v>
      </c>
      <c r="O305" s="1002"/>
      <c r="P305" s="412"/>
      <c r="Q305" s="412"/>
      <c r="R305" s="412"/>
      <c r="S305" s="412"/>
      <c r="T305" s="514"/>
      <c r="U305" s="507"/>
      <c r="V305" s="694"/>
    </row>
    <row r="306" spans="1:22" ht="12.75">
      <c r="A306" s="1004"/>
      <c r="B306" s="548"/>
      <c r="C306" s="1040"/>
      <c r="D306" s="1004"/>
      <c r="E306" s="521"/>
      <c r="F306" s="520"/>
      <c r="G306" s="520"/>
      <c r="H306" s="1005">
        <f>SUM(H300:H305)</f>
        <v>546</v>
      </c>
      <c r="I306" s="1004"/>
      <c r="J306" s="520"/>
      <c r="K306" s="522"/>
      <c r="L306" s="520"/>
      <c r="M306" s="520"/>
      <c r="N306" s="1005">
        <f>SUM(N300:N305)</f>
        <v>126.30030021367521</v>
      </c>
      <c r="O306" s="1004"/>
      <c r="P306" s="520"/>
      <c r="Q306" s="520"/>
      <c r="R306" s="520"/>
      <c r="S306" s="520"/>
      <c r="T306" s="522">
        <v>0.64</v>
      </c>
      <c r="U306" s="522">
        <f>T306+N306+H306</f>
        <v>672.9403002136752</v>
      </c>
      <c r="V306" s="1005">
        <f>U306*$U$4</f>
        <v>907.3553862684728</v>
      </c>
    </row>
    <row r="307" spans="1:22" ht="12.75">
      <c r="A307" s="1002"/>
      <c r="B307" s="546"/>
      <c r="C307" s="1039"/>
      <c r="D307" s="1002"/>
      <c r="E307" s="413"/>
      <c r="F307" s="412"/>
      <c r="G307" s="412"/>
      <c r="H307" s="1057"/>
      <c r="I307" s="1002"/>
      <c r="J307" s="412"/>
      <c r="K307" s="414"/>
      <c r="L307" s="412"/>
      <c r="M307" s="412"/>
      <c r="N307" s="1091"/>
      <c r="O307" s="1002"/>
      <c r="P307" s="412"/>
      <c r="Q307" s="412"/>
      <c r="R307" s="412"/>
      <c r="S307" s="412"/>
      <c r="T307" s="515"/>
      <c r="U307" s="507"/>
      <c r="V307" s="694"/>
    </row>
    <row r="308" spans="1:22" ht="12.75">
      <c r="A308" s="1002">
        <v>49</v>
      </c>
      <c r="B308" s="546" t="s">
        <v>1647</v>
      </c>
      <c r="C308" s="1039"/>
      <c r="D308" s="1002" t="s">
        <v>3180</v>
      </c>
      <c r="E308" s="413" t="s">
        <v>24</v>
      </c>
      <c r="F308" s="414">
        <v>1</v>
      </c>
      <c r="G308" s="414">
        <f>'Material price'!D217</f>
        <v>2756.25</v>
      </c>
      <c r="H308" s="1059">
        <f>F308*G308</f>
        <v>2756.25</v>
      </c>
      <c r="I308" s="1002" t="s">
        <v>1650</v>
      </c>
      <c r="J308" s="412"/>
      <c r="K308" s="414"/>
      <c r="L308" s="414"/>
      <c r="M308" s="414"/>
      <c r="N308" s="1090"/>
      <c r="O308" s="1002"/>
      <c r="P308" s="417"/>
      <c r="Q308" s="417"/>
      <c r="R308" s="414"/>
      <c r="S308" s="414"/>
      <c r="T308" s="515"/>
      <c r="U308" s="507"/>
      <c r="V308" s="694"/>
    </row>
    <row r="309" spans="1:22" ht="12.75">
      <c r="A309" s="1002"/>
      <c r="B309" s="546" t="s">
        <v>1648</v>
      </c>
      <c r="C309" s="1039"/>
      <c r="D309" s="1002" t="s">
        <v>1649</v>
      </c>
      <c r="E309" s="413"/>
      <c r="F309" s="414"/>
      <c r="G309" s="414"/>
      <c r="H309" s="1059"/>
      <c r="I309" s="1002" t="s">
        <v>2078</v>
      </c>
      <c r="J309" s="412"/>
      <c r="K309" s="414"/>
      <c r="L309" s="415"/>
      <c r="M309" s="412"/>
      <c r="N309" s="1090"/>
      <c r="O309" s="1002"/>
      <c r="P309" s="412"/>
      <c r="Q309" s="412"/>
      <c r="R309" s="412"/>
      <c r="S309" s="412"/>
      <c r="T309" s="514"/>
      <c r="U309" s="507"/>
      <c r="V309" s="694"/>
    </row>
    <row r="310" spans="1:22" ht="12.75">
      <c r="A310" s="1002"/>
      <c r="B310" s="546"/>
      <c r="C310" s="1039"/>
      <c r="D310" s="1002"/>
      <c r="E310" s="413"/>
      <c r="F310" s="414"/>
      <c r="G310" s="414"/>
      <c r="H310" s="1059"/>
      <c r="I310" s="1002" t="s">
        <v>2079</v>
      </c>
      <c r="J310" s="412"/>
      <c r="K310" s="414"/>
      <c r="L310" s="415"/>
      <c r="M310" s="412"/>
      <c r="N310" s="1090"/>
      <c r="O310" s="1002"/>
      <c r="P310" s="412"/>
      <c r="Q310" s="412"/>
      <c r="R310" s="412"/>
      <c r="S310" s="412"/>
      <c r="T310" s="514"/>
      <c r="U310" s="507"/>
      <c r="V310" s="694"/>
    </row>
    <row r="311" spans="1:22" ht="12.75">
      <c r="A311" s="1002"/>
      <c r="B311" s="546"/>
      <c r="C311" s="1039"/>
      <c r="D311" s="1002"/>
      <c r="E311" s="413"/>
      <c r="F311" s="414"/>
      <c r="G311" s="414"/>
      <c r="H311" s="1059"/>
      <c r="I311" s="1002" t="s">
        <v>2080</v>
      </c>
      <c r="J311" s="412"/>
      <c r="K311" s="414"/>
      <c r="L311" s="415"/>
      <c r="M311" s="412"/>
      <c r="N311" s="1090"/>
      <c r="O311" s="1002"/>
      <c r="P311" s="412"/>
      <c r="Q311" s="412"/>
      <c r="R311" s="412"/>
      <c r="S311" s="412"/>
      <c r="T311" s="514"/>
      <c r="U311" s="507"/>
      <c r="V311" s="694"/>
    </row>
    <row r="312" spans="1:22" ht="12.75">
      <c r="A312" s="1004"/>
      <c r="B312" s="548"/>
      <c r="C312" s="1040"/>
      <c r="D312" s="1004"/>
      <c r="E312" s="521"/>
      <c r="F312" s="520"/>
      <c r="G312" s="522"/>
      <c r="H312" s="1005">
        <f>SUM(H308:H311)</f>
        <v>2756.25</v>
      </c>
      <c r="I312" s="1004"/>
      <c r="J312" s="520"/>
      <c r="K312" s="522"/>
      <c r="L312" s="520"/>
      <c r="M312" s="520"/>
      <c r="N312" s="1005">
        <f>H312*0.05</f>
        <v>137.8125</v>
      </c>
      <c r="O312" s="1004"/>
      <c r="P312" s="520"/>
      <c r="Q312" s="520"/>
      <c r="R312" s="520"/>
      <c r="S312" s="520"/>
      <c r="T312" s="522"/>
      <c r="U312" s="522">
        <f>H312+N312</f>
        <v>2894.0625</v>
      </c>
      <c r="V312" s="1005">
        <f>U312*$U$4</f>
        <v>3902.1933992343747</v>
      </c>
    </row>
    <row r="313" spans="1:22" ht="12.75">
      <c r="A313" s="1002"/>
      <c r="B313" s="546"/>
      <c r="C313" s="1039"/>
      <c r="D313" s="1002"/>
      <c r="E313" s="413"/>
      <c r="F313" s="412"/>
      <c r="G313" s="414"/>
      <c r="H313" s="1057"/>
      <c r="I313" s="1002"/>
      <c r="J313" s="412"/>
      <c r="K313" s="414"/>
      <c r="L313" s="412"/>
      <c r="M313" s="412"/>
      <c r="N313" s="1091"/>
      <c r="O313" s="1002"/>
      <c r="P313" s="412"/>
      <c r="Q313" s="412"/>
      <c r="R313" s="412"/>
      <c r="S313" s="412"/>
      <c r="T313" s="515"/>
      <c r="U313" s="507"/>
      <c r="V313" s="694"/>
    </row>
    <row r="314" spans="1:22" ht="18">
      <c r="A314" s="1010">
        <v>50</v>
      </c>
      <c r="B314" s="1027" t="s">
        <v>84</v>
      </c>
      <c r="C314" s="1039"/>
      <c r="D314" s="1002" t="s">
        <v>1864</v>
      </c>
      <c r="E314" s="413" t="s">
        <v>3099</v>
      </c>
      <c r="F314" s="414">
        <v>1.05</v>
      </c>
      <c r="G314" s="414">
        <f>'Material price'!D94</f>
        <v>21.9</v>
      </c>
      <c r="H314" s="1057">
        <f>F314*G314</f>
        <v>22.995</v>
      </c>
      <c r="I314" s="1002" t="s">
        <v>1865</v>
      </c>
      <c r="J314" s="412">
        <v>1</v>
      </c>
      <c r="K314" s="414">
        <v>1</v>
      </c>
      <c r="L314" s="414">
        <f>'Labour Cost'!F30</f>
        <v>22.04825</v>
      </c>
      <c r="M314" s="412">
        <v>18</v>
      </c>
      <c r="N314" s="1090">
        <f>J314*K314*L314/M314</f>
        <v>1.2249027777777777</v>
      </c>
      <c r="O314" s="1002" t="s">
        <v>277</v>
      </c>
      <c r="P314" s="417">
        <v>2</v>
      </c>
      <c r="Q314" s="417">
        <v>1</v>
      </c>
      <c r="R314" s="414">
        <f>R10</f>
        <v>0.32</v>
      </c>
      <c r="S314" s="412">
        <v>18</v>
      </c>
      <c r="T314" s="515">
        <f>P314*R314/S314</f>
        <v>0.035555555555555556</v>
      </c>
      <c r="U314" s="507"/>
      <c r="V314" s="694"/>
    </row>
    <row r="315" spans="1:22" ht="12.75">
      <c r="A315" s="1002"/>
      <c r="B315" s="546"/>
      <c r="C315" s="1039"/>
      <c r="D315" s="1002" t="s">
        <v>741</v>
      </c>
      <c r="E315" s="413" t="s">
        <v>2556</v>
      </c>
      <c r="F315" s="414">
        <v>0.5</v>
      </c>
      <c r="G315" s="414">
        <v>1.3</v>
      </c>
      <c r="H315" s="1057">
        <f>F315*G315</f>
        <v>0.65</v>
      </c>
      <c r="I315" s="1002" t="s">
        <v>1866</v>
      </c>
      <c r="J315" s="412">
        <v>2</v>
      </c>
      <c r="K315" s="414">
        <v>1</v>
      </c>
      <c r="L315" s="414">
        <f>'Labour Cost'!F21</f>
        <v>8.75</v>
      </c>
      <c r="M315" s="412">
        <v>18</v>
      </c>
      <c r="N315" s="1090">
        <f>J315*K315*L315/M315</f>
        <v>0.9722222222222222</v>
      </c>
      <c r="O315" s="1002" t="s">
        <v>1867</v>
      </c>
      <c r="P315" s="417">
        <v>1</v>
      </c>
      <c r="Q315" s="417">
        <v>1</v>
      </c>
      <c r="R315" s="414">
        <f>'Equip. Rental Rate'!AB69</f>
        <v>182.32115491676865</v>
      </c>
      <c r="S315" s="412">
        <v>18</v>
      </c>
      <c r="T315" s="515">
        <f>P315*R315/S315</f>
        <v>10.128953050931592</v>
      </c>
      <c r="U315" s="507"/>
      <c r="V315" s="694"/>
    </row>
    <row r="316" spans="1:22" ht="12.75">
      <c r="A316" s="1002"/>
      <c r="B316" s="546"/>
      <c r="C316" s="1039"/>
      <c r="D316" s="1002" t="s">
        <v>742</v>
      </c>
      <c r="E316" s="413" t="s">
        <v>2556</v>
      </c>
      <c r="F316" s="414">
        <v>0.1</v>
      </c>
      <c r="G316" s="414">
        <v>16</v>
      </c>
      <c r="H316" s="1057">
        <f>F316*G316</f>
        <v>1.6</v>
      </c>
      <c r="I316" s="1002" t="s">
        <v>275</v>
      </c>
      <c r="J316" s="412">
        <v>1</v>
      </c>
      <c r="K316" s="414">
        <v>0.2</v>
      </c>
      <c r="L316" s="414">
        <f>'Labour Cost'!F7</f>
        <v>20.81362580128205</v>
      </c>
      <c r="M316" s="417">
        <v>18</v>
      </c>
      <c r="N316" s="1090">
        <f>J316*K316*L316/M316</f>
        <v>0.23126250890313388</v>
      </c>
      <c r="O316" s="1002"/>
      <c r="P316" s="412"/>
      <c r="Q316" s="412"/>
      <c r="R316" s="412"/>
      <c r="S316" s="412"/>
      <c r="T316" s="514"/>
      <c r="U316" s="507"/>
      <c r="V316" s="694"/>
    </row>
    <row r="317" spans="1:22" ht="12.75">
      <c r="A317" s="1004"/>
      <c r="B317" s="548"/>
      <c r="C317" s="1040"/>
      <c r="D317" s="1004"/>
      <c r="E317" s="521"/>
      <c r="F317" s="520"/>
      <c r="G317" s="522"/>
      <c r="H317" s="1005">
        <f>SUM(H314:H316)</f>
        <v>25.245</v>
      </c>
      <c r="I317" s="1004"/>
      <c r="J317" s="520"/>
      <c r="K317" s="522"/>
      <c r="L317" s="520"/>
      <c r="M317" s="520"/>
      <c r="N317" s="1005">
        <f>SUM(N314:N316)</f>
        <v>2.4283875089031337</v>
      </c>
      <c r="O317" s="1004"/>
      <c r="P317" s="520"/>
      <c r="Q317" s="520"/>
      <c r="R317" s="520"/>
      <c r="S317" s="520"/>
      <c r="T317" s="522">
        <f>SUM(T314:T316)</f>
        <v>10.164508606487148</v>
      </c>
      <c r="U317" s="522">
        <f>T317+N317+H317</f>
        <v>37.83789611539028</v>
      </c>
      <c r="V317" s="1005">
        <f>U317*$U$4</f>
        <v>51.018521010652655</v>
      </c>
    </row>
    <row r="318" spans="1:22" ht="12.75">
      <c r="A318" s="1002"/>
      <c r="B318" s="546"/>
      <c r="C318" s="1039"/>
      <c r="D318" s="1002"/>
      <c r="E318" s="413"/>
      <c r="F318" s="412"/>
      <c r="G318" s="412"/>
      <c r="H318" s="1059"/>
      <c r="I318" s="1002"/>
      <c r="J318" s="412"/>
      <c r="K318" s="414"/>
      <c r="L318" s="412"/>
      <c r="M318" s="412"/>
      <c r="N318" s="1091"/>
      <c r="O318" s="1002"/>
      <c r="P318" s="412"/>
      <c r="Q318" s="412"/>
      <c r="R318" s="412"/>
      <c r="S318" s="412"/>
      <c r="T318" s="514"/>
      <c r="U318" s="507"/>
      <c r="V318" s="1005"/>
    </row>
    <row r="319" spans="1:22" ht="30" customHeight="1">
      <c r="A319" s="1002"/>
      <c r="B319" s="1320" t="s">
        <v>1868</v>
      </c>
      <c r="C319" s="1321"/>
      <c r="D319" s="1060"/>
      <c r="E319" s="1042"/>
      <c r="F319" s="1042"/>
      <c r="G319" s="1042"/>
      <c r="H319" s="1064"/>
      <c r="I319" s="1002"/>
      <c r="J319" s="412"/>
      <c r="K319" s="414"/>
      <c r="L319" s="412"/>
      <c r="M319" s="412"/>
      <c r="N319" s="1091"/>
      <c r="O319" s="1002"/>
      <c r="P319" s="412"/>
      <c r="Q319" s="412"/>
      <c r="R319" s="412"/>
      <c r="S319" s="412"/>
      <c r="T319" s="514"/>
      <c r="U319" s="507"/>
      <c r="V319" s="1005"/>
    </row>
    <row r="320" spans="1:22" ht="12.75">
      <c r="A320" s="1002"/>
      <c r="B320" s="412"/>
      <c r="C320" s="1039"/>
      <c r="D320" s="1002"/>
      <c r="E320" s="413"/>
      <c r="F320" s="412"/>
      <c r="G320" s="412"/>
      <c r="H320" s="1057"/>
      <c r="I320" s="1002"/>
      <c r="J320" s="412"/>
      <c r="K320" s="414"/>
      <c r="L320" s="412"/>
      <c r="M320" s="412"/>
      <c r="N320" s="1091"/>
      <c r="O320" s="1002"/>
      <c r="P320" s="412"/>
      <c r="Q320" s="412"/>
      <c r="R320" s="412"/>
      <c r="S320" s="412"/>
      <c r="T320" s="514"/>
      <c r="U320" s="507"/>
      <c r="V320" s="1005"/>
    </row>
    <row r="321" spans="1:22" ht="12.75">
      <c r="A321" s="1002">
        <v>51</v>
      </c>
      <c r="B321" s="546" t="s">
        <v>1262</v>
      </c>
      <c r="C321" s="1049"/>
      <c r="D321" s="1002" t="s">
        <v>1151</v>
      </c>
      <c r="E321" s="413" t="s">
        <v>1869</v>
      </c>
      <c r="F321" s="414">
        <v>4.41</v>
      </c>
      <c r="G321" s="414">
        <f>G69</f>
        <v>255.3913043478261</v>
      </c>
      <c r="H321" s="1059">
        <f>F321*G321</f>
        <v>1126.2756521739132</v>
      </c>
      <c r="I321" s="1002" t="s">
        <v>1166</v>
      </c>
      <c r="J321" s="412">
        <v>1</v>
      </c>
      <c r="K321" s="414">
        <v>1</v>
      </c>
      <c r="L321" s="415">
        <f>'Labour Cost'!F9</f>
        <v>26.25</v>
      </c>
      <c r="M321" s="412">
        <v>0.9</v>
      </c>
      <c r="N321" s="1090">
        <f>J321*K321*L321/M321</f>
        <v>29.166666666666664</v>
      </c>
      <c r="O321" s="1002" t="s">
        <v>277</v>
      </c>
      <c r="P321" s="412">
        <v>10</v>
      </c>
      <c r="Q321" s="412">
        <v>1</v>
      </c>
      <c r="R321" s="412">
        <f>R10</f>
        <v>0.32</v>
      </c>
      <c r="S321" s="414">
        <v>0.9</v>
      </c>
      <c r="T321" s="515">
        <f>P321*Q321*R321/S321</f>
        <v>3.555555555555556</v>
      </c>
      <c r="U321" s="507"/>
      <c r="V321" s="1005"/>
    </row>
    <row r="322" spans="1:22" ht="12.75">
      <c r="A322" s="1002"/>
      <c r="B322" s="546" t="s">
        <v>290</v>
      </c>
      <c r="C322" s="1039" t="s">
        <v>25</v>
      </c>
      <c r="D322" s="1002" t="s">
        <v>622</v>
      </c>
      <c r="E322" s="413" t="s">
        <v>25</v>
      </c>
      <c r="F322" s="412">
        <v>1.08</v>
      </c>
      <c r="G322" s="414">
        <f>'Material price'!D8</f>
        <v>312.5</v>
      </c>
      <c r="H322" s="1059">
        <f>F322*G322</f>
        <v>337.5</v>
      </c>
      <c r="I322" s="1002" t="s">
        <v>1168</v>
      </c>
      <c r="J322" s="412">
        <v>10</v>
      </c>
      <c r="K322" s="414">
        <v>1</v>
      </c>
      <c r="L322" s="415">
        <f>'Labour Cost'!F21</f>
        <v>8.75</v>
      </c>
      <c r="M322" s="412">
        <v>0.9</v>
      </c>
      <c r="N322" s="1090">
        <f>J322*K322*L322/M322</f>
        <v>97.22222222222221</v>
      </c>
      <c r="O322" s="1002" t="s">
        <v>614</v>
      </c>
      <c r="P322" s="412">
        <v>1</v>
      </c>
      <c r="Q322" s="412">
        <v>1</v>
      </c>
      <c r="R322" s="414">
        <f>'Equip. Rental Rate'!AB52:AB52</f>
        <v>54.62462218906289</v>
      </c>
      <c r="S322" s="414">
        <v>0.9</v>
      </c>
      <c r="T322" s="515">
        <f>P322*Q322*R322/S322</f>
        <v>60.69402465451432</v>
      </c>
      <c r="U322" s="507"/>
      <c r="V322" s="1005"/>
    </row>
    <row r="323" spans="1:22" ht="12.75">
      <c r="A323" s="1002"/>
      <c r="B323" s="546"/>
      <c r="C323" s="1039"/>
      <c r="D323" s="1002" t="s">
        <v>1870</v>
      </c>
      <c r="E323" s="421">
        <v>0.05</v>
      </c>
      <c r="F323" s="412"/>
      <c r="G323" s="412"/>
      <c r="H323" s="1057">
        <f>H321*0.05</f>
        <v>56.31378260869566</v>
      </c>
      <c r="I323" s="1002" t="s">
        <v>1170</v>
      </c>
      <c r="J323" s="412">
        <v>1</v>
      </c>
      <c r="K323" s="414">
        <v>1</v>
      </c>
      <c r="L323" s="415">
        <f>'Labour Cost'!F24</f>
        <v>15.399999999999999</v>
      </c>
      <c r="M323" s="412">
        <v>0.9</v>
      </c>
      <c r="N323" s="1090">
        <f>J323*K323*L323/M323</f>
        <v>17.11111111111111</v>
      </c>
      <c r="O323" s="1002"/>
      <c r="P323" s="412"/>
      <c r="Q323" s="412"/>
      <c r="R323" s="412"/>
      <c r="S323" s="412"/>
      <c r="T323" s="514"/>
      <c r="U323" s="507"/>
      <c r="V323" s="1005"/>
    </row>
    <row r="324" spans="1:22" ht="12.75">
      <c r="A324" s="1002"/>
      <c r="B324" s="546"/>
      <c r="C324" s="1039"/>
      <c r="D324" s="1002"/>
      <c r="E324" s="421"/>
      <c r="F324" s="412"/>
      <c r="G324" s="412"/>
      <c r="H324" s="1057"/>
      <c r="I324" s="1002" t="s">
        <v>275</v>
      </c>
      <c r="J324" s="412">
        <v>1</v>
      </c>
      <c r="K324" s="414">
        <v>0.2</v>
      </c>
      <c r="L324" s="415">
        <f>'Labour Cost'!F7</f>
        <v>20.81362580128205</v>
      </c>
      <c r="M324" s="412">
        <v>0.9</v>
      </c>
      <c r="N324" s="1090">
        <f>J324*K324*L324/M324</f>
        <v>4.625250178062678</v>
      </c>
      <c r="O324" s="1002"/>
      <c r="P324" s="412"/>
      <c r="Q324" s="412"/>
      <c r="R324" s="412"/>
      <c r="S324" s="412"/>
      <c r="T324" s="514"/>
      <c r="U324" s="507"/>
      <c r="V324" s="1005"/>
    </row>
    <row r="325" spans="1:22" ht="12.75">
      <c r="A325" s="1002"/>
      <c r="B325" s="546"/>
      <c r="C325" s="1039"/>
      <c r="D325" s="1002" t="s">
        <v>618</v>
      </c>
      <c r="E325" s="421">
        <v>0.01</v>
      </c>
      <c r="F325" s="412"/>
      <c r="G325" s="412"/>
      <c r="H325" s="1059">
        <f>H322*0.01</f>
        <v>3.375</v>
      </c>
      <c r="I325" s="1002"/>
      <c r="J325" s="412"/>
      <c r="K325" s="414"/>
      <c r="L325" s="412"/>
      <c r="M325" s="412"/>
      <c r="N325" s="1090"/>
      <c r="O325" s="1002"/>
      <c r="P325" s="412"/>
      <c r="Q325" s="412"/>
      <c r="R325" s="412"/>
      <c r="S325" s="412"/>
      <c r="T325" s="515"/>
      <c r="U325" s="507"/>
      <c r="V325" s="1005"/>
    </row>
    <row r="326" spans="1:22" ht="12.75">
      <c r="A326" s="1004"/>
      <c r="B326" s="548"/>
      <c r="C326" s="1040"/>
      <c r="D326" s="1004"/>
      <c r="E326" s="1028"/>
      <c r="F326" s="520"/>
      <c r="G326" s="520"/>
      <c r="H326" s="1005">
        <f>SUM(H321:H325)</f>
        <v>1523.4644347826088</v>
      </c>
      <c r="I326" s="1004"/>
      <c r="J326" s="520"/>
      <c r="K326" s="522"/>
      <c r="L326" s="520"/>
      <c r="M326" s="520"/>
      <c r="N326" s="1005">
        <f>SUM(N321:N325)</f>
        <v>148.1252501780627</v>
      </c>
      <c r="O326" s="1004"/>
      <c r="P326" s="520"/>
      <c r="Q326" s="520"/>
      <c r="R326" s="520"/>
      <c r="S326" s="520"/>
      <c r="T326" s="522">
        <f>SUM(T321:T325)</f>
        <v>64.24958021006988</v>
      </c>
      <c r="U326" s="522">
        <f>H326+N326+T326</f>
        <v>1735.8392651707413</v>
      </c>
      <c r="V326" s="1005"/>
    </row>
    <row r="327" spans="1:22" ht="12.75">
      <c r="A327" s="1002"/>
      <c r="B327" s="546"/>
      <c r="C327" s="1039"/>
      <c r="D327" s="1002"/>
      <c r="E327" s="421"/>
      <c r="F327" s="412"/>
      <c r="G327" s="412"/>
      <c r="H327" s="1059"/>
      <c r="I327" s="1002"/>
      <c r="J327" s="412"/>
      <c r="K327" s="414"/>
      <c r="L327" s="412"/>
      <c r="M327" s="412"/>
      <c r="N327" s="1091"/>
      <c r="O327" s="1002"/>
      <c r="P327" s="412"/>
      <c r="Q327" s="412"/>
      <c r="R327" s="412"/>
      <c r="S327" s="412"/>
      <c r="T327" s="514"/>
      <c r="U327" s="507"/>
      <c r="V327" s="1005"/>
    </row>
    <row r="328" spans="1:22" ht="12.75">
      <c r="A328" s="1002">
        <v>52</v>
      </c>
      <c r="B328" s="546" t="s">
        <v>601</v>
      </c>
      <c r="C328" s="1039" t="s">
        <v>1840</v>
      </c>
      <c r="D328" s="1002" t="s">
        <v>1966</v>
      </c>
      <c r="E328" s="413" t="s">
        <v>25</v>
      </c>
      <c r="F328" s="422">
        <v>0.006</v>
      </c>
      <c r="G328" s="414">
        <f>U326</f>
        <v>1735.8392651707413</v>
      </c>
      <c r="H328" s="1059">
        <f>F328*G328</f>
        <v>10.415035591024449</v>
      </c>
      <c r="I328" s="1002" t="s">
        <v>1288</v>
      </c>
      <c r="J328" s="412">
        <v>1</v>
      </c>
      <c r="K328" s="414">
        <v>0.1</v>
      </c>
      <c r="L328" s="415">
        <f>'Labour Cost'!F7</f>
        <v>20.81362580128205</v>
      </c>
      <c r="M328" s="414">
        <v>2</v>
      </c>
      <c r="N328" s="1090">
        <f>L328/M328</f>
        <v>10.406812900641025</v>
      </c>
      <c r="O328" s="1002" t="s">
        <v>277</v>
      </c>
      <c r="P328" s="414">
        <v>2</v>
      </c>
      <c r="Q328" s="417">
        <v>1</v>
      </c>
      <c r="R328" s="414">
        <f>R10</f>
        <v>0.32</v>
      </c>
      <c r="S328" s="412">
        <v>2</v>
      </c>
      <c r="T328" s="515">
        <f>P328*R328/S328</f>
        <v>0.32</v>
      </c>
      <c r="U328" s="507"/>
      <c r="V328" s="1005"/>
    </row>
    <row r="329" spans="1:22" ht="12.75">
      <c r="A329" s="1002"/>
      <c r="B329" s="546" t="s">
        <v>602</v>
      </c>
      <c r="C329" s="1039"/>
      <c r="D329" s="1002"/>
      <c r="E329" s="413"/>
      <c r="F329" s="412"/>
      <c r="G329" s="414"/>
      <c r="H329" s="1059"/>
      <c r="I329" s="1002" t="s">
        <v>1378</v>
      </c>
      <c r="J329" s="412">
        <v>1</v>
      </c>
      <c r="K329" s="414">
        <v>1</v>
      </c>
      <c r="L329" s="415">
        <f>'Labour Cost'!F12</f>
        <v>35</v>
      </c>
      <c r="M329" s="414">
        <v>2</v>
      </c>
      <c r="N329" s="1090">
        <f>L329/M329</f>
        <v>17.5</v>
      </c>
      <c r="O329" s="1002"/>
      <c r="P329" s="412"/>
      <c r="Q329" s="412"/>
      <c r="R329" s="412"/>
      <c r="S329" s="412"/>
      <c r="T329" s="514"/>
      <c r="U329" s="507"/>
      <c r="V329" s="1005"/>
    </row>
    <row r="330" spans="1:22" ht="12.75">
      <c r="A330" s="1002"/>
      <c r="B330" s="546" t="s">
        <v>291</v>
      </c>
      <c r="C330" s="1039"/>
      <c r="D330" s="1002"/>
      <c r="E330" s="413"/>
      <c r="F330" s="412"/>
      <c r="G330" s="414"/>
      <c r="H330" s="1059"/>
      <c r="I330" s="1002" t="s">
        <v>1705</v>
      </c>
      <c r="J330" s="412">
        <v>2</v>
      </c>
      <c r="K330" s="414">
        <v>1</v>
      </c>
      <c r="L330" s="415">
        <f>'Labour Cost'!F21</f>
        <v>8.75</v>
      </c>
      <c r="M330" s="414">
        <v>2</v>
      </c>
      <c r="N330" s="1090">
        <f>J330/M330</f>
        <v>1</v>
      </c>
      <c r="O330" s="1002"/>
      <c r="P330" s="412"/>
      <c r="Q330" s="412"/>
      <c r="R330" s="412"/>
      <c r="S330" s="412"/>
      <c r="T330" s="514"/>
      <c r="U330" s="507"/>
      <c r="V330" s="1005"/>
    </row>
    <row r="331" spans="1:22" ht="12.75">
      <c r="A331" s="1004"/>
      <c r="B331" s="548"/>
      <c r="C331" s="1040"/>
      <c r="D331" s="1004"/>
      <c r="E331" s="521"/>
      <c r="F331" s="520"/>
      <c r="G331" s="522"/>
      <c r="H331" s="1005">
        <f>H328</f>
        <v>10.415035591024449</v>
      </c>
      <c r="I331" s="1004"/>
      <c r="J331" s="520"/>
      <c r="K331" s="522"/>
      <c r="L331" s="520"/>
      <c r="M331" s="520"/>
      <c r="N331" s="1005">
        <f>SUM(N328:N330)</f>
        <v>28.906812900641025</v>
      </c>
      <c r="O331" s="1004"/>
      <c r="P331" s="520"/>
      <c r="Q331" s="520"/>
      <c r="R331" s="520"/>
      <c r="S331" s="520"/>
      <c r="T331" s="522">
        <f>T328</f>
        <v>0.32</v>
      </c>
      <c r="U331" s="522">
        <f>H331+N331+T331</f>
        <v>39.64184849166548</v>
      </c>
      <c r="V331" s="1005">
        <f>U331*$U$4</f>
        <v>53.450870365662865</v>
      </c>
    </row>
    <row r="332" spans="1:22" ht="12.75">
      <c r="A332" s="1002"/>
      <c r="B332" s="546"/>
      <c r="C332" s="1039"/>
      <c r="D332" s="1002"/>
      <c r="E332" s="413"/>
      <c r="F332" s="412"/>
      <c r="G332" s="414"/>
      <c r="H332" s="1057"/>
      <c r="I332" s="1002"/>
      <c r="J332" s="412"/>
      <c r="K332" s="414"/>
      <c r="L332" s="412"/>
      <c r="M332" s="412"/>
      <c r="N332" s="1091"/>
      <c r="O332" s="1002"/>
      <c r="P332" s="412"/>
      <c r="Q332" s="412"/>
      <c r="R332" s="412"/>
      <c r="S332" s="412"/>
      <c r="T332" s="515"/>
      <c r="U332" s="507"/>
      <c r="V332" s="694"/>
    </row>
    <row r="333" spans="1:22" ht="12.75">
      <c r="A333" s="1002">
        <v>53</v>
      </c>
      <c r="B333" s="546" t="s">
        <v>2272</v>
      </c>
      <c r="C333" s="1039"/>
      <c r="D333" s="1002" t="s">
        <v>1173</v>
      </c>
      <c r="E333" s="413" t="s">
        <v>25</v>
      </c>
      <c r="F333" s="412">
        <v>0.03</v>
      </c>
      <c r="G333" s="414">
        <f>G328</f>
        <v>1735.8392651707413</v>
      </c>
      <c r="H333" s="1059">
        <f>F333*G333</f>
        <v>52.075177955122236</v>
      </c>
      <c r="I333" s="1002" t="s">
        <v>275</v>
      </c>
      <c r="J333" s="412">
        <v>1</v>
      </c>
      <c r="K333" s="414">
        <v>0.1</v>
      </c>
      <c r="L333" s="414">
        <f>'Labour Cost'!F7</f>
        <v>20.81362580128205</v>
      </c>
      <c r="M333" s="412">
        <v>0.9</v>
      </c>
      <c r="N333" s="1090">
        <f>J333*K333*L333/M333</f>
        <v>2.312625089031339</v>
      </c>
      <c r="O333" s="1002" t="s">
        <v>277</v>
      </c>
      <c r="P333" s="417">
        <v>2</v>
      </c>
      <c r="Q333" s="417">
        <v>1</v>
      </c>
      <c r="R333" s="414">
        <f>R10</f>
        <v>0.32</v>
      </c>
      <c r="S333" s="412">
        <v>0.9</v>
      </c>
      <c r="T333" s="515">
        <f>P333*Q333*R333/S333</f>
        <v>0.7111111111111111</v>
      </c>
      <c r="U333" s="507"/>
      <c r="V333" s="694"/>
    </row>
    <row r="334" spans="1:22" ht="12.75">
      <c r="A334" s="1002"/>
      <c r="B334" s="546" t="s">
        <v>2273</v>
      </c>
      <c r="C334" s="1039"/>
      <c r="D334" s="1002" t="s">
        <v>1871</v>
      </c>
      <c r="E334" s="421">
        <v>0.1</v>
      </c>
      <c r="F334" s="412"/>
      <c r="G334" s="412"/>
      <c r="H334" s="1059">
        <f>E334*H333</f>
        <v>5.207517795512224</v>
      </c>
      <c r="I334" s="1002" t="s">
        <v>1378</v>
      </c>
      <c r="J334" s="412">
        <v>1</v>
      </c>
      <c r="K334" s="414">
        <v>1</v>
      </c>
      <c r="L334" s="414">
        <f>'Labour Cost'!F12</f>
        <v>35</v>
      </c>
      <c r="M334" s="412">
        <v>0.9</v>
      </c>
      <c r="N334" s="1090">
        <f>J334*K334*L334/M334</f>
        <v>38.888888888888886</v>
      </c>
      <c r="O334" s="1002"/>
      <c r="P334" s="412"/>
      <c r="Q334" s="412"/>
      <c r="R334" s="412"/>
      <c r="S334" s="412"/>
      <c r="T334" s="514"/>
      <c r="U334" s="507"/>
      <c r="V334" s="694"/>
    </row>
    <row r="335" spans="1:22" ht="12.75">
      <c r="A335" s="1002"/>
      <c r="B335" s="546" t="s">
        <v>2274</v>
      </c>
      <c r="C335" s="1039"/>
      <c r="D335" s="1002"/>
      <c r="E335" s="413"/>
      <c r="F335" s="412"/>
      <c r="G335" s="412"/>
      <c r="H335" s="1057"/>
      <c r="I335" s="1002" t="s">
        <v>2012</v>
      </c>
      <c r="J335" s="412">
        <v>2</v>
      </c>
      <c r="K335" s="414">
        <v>1</v>
      </c>
      <c r="L335" s="415">
        <f>'Labour Cost'!F21</f>
        <v>8.75</v>
      </c>
      <c r="M335" s="412">
        <v>0.9</v>
      </c>
      <c r="N335" s="1090">
        <f>J335*K335*L335/M335</f>
        <v>19.444444444444443</v>
      </c>
      <c r="O335" s="1002"/>
      <c r="P335" s="412"/>
      <c r="Q335" s="412"/>
      <c r="R335" s="412"/>
      <c r="S335" s="412"/>
      <c r="T335" s="514"/>
      <c r="U335" s="507"/>
      <c r="V335" s="694"/>
    </row>
    <row r="336" spans="1:22" ht="12.75">
      <c r="A336" s="1004"/>
      <c r="B336" s="548"/>
      <c r="C336" s="1040"/>
      <c r="D336" s="1004"/>
      <c r="E336" s="521" t="s">
        <v>1376</v>
      </c>
      <c r="F336" s="520"/>
      <c r="G336" s="520"/>
      <c r="H336" s="1005">
        <f>SUM(H333:H335)</f>
        <v>57.28269575063446</v>
      </c>
      <c r="I336" s="1004"/>
      <c r="J336" s="520"/>
      <c r="K336" s="522"/>
      <c r="L336" s="520" t="s">
        <v>1377</v>
      </c>
      <c r="M336" s="520"/>
      <c r="N336" s="1005">
        <f>SUM(N333:N335)</f>
        <v>60.645958422364664</v>
      </c>
      <c r="O336" s="1004"/>
      <c r="P336" s="520"/>
      <c r="Q336" s="520"/>
      <c r="R336" s="520"/>
      <c r="S336" s="520"/>
      <c r="T336" s="522">
        <f>SUM(T333:T335)</f>
        <v>0.7111111111111111</v>
      </c>
      <c r="U336" s="522">
        <f>T336+N336+H336</f>
        <v>118.63976528411024</v>
      </c>
      <c r="V336" s="1005">
        <f>U336*$U$4</f>
        <v>159.96728093410925</v>
      </c>
    </row>
    <row r="337" spans="1:22" ht="12.75">
      <c r="A337" s="1002"/>
      <c r="B337" s="546"/>
      <c r="C337" s="1039"/>
      <c r="D337" s="1002"/>
      <c r="E337" s="413"/>
      <c r="F337" s="412"/>
      <c r="G337" s="412"/>
      <c r="H337" s="1057"/>
      <c r="I337" s="1002"/>
      <c r="J337" s="412"/>
      <c r="K337" s="414"/>
      <c r="L337" s="412"/>
      <c r="M337" s="412"/>
      <c r="N337" s="1090"/>
      <c r="O337" s="1002"/>
      <c r="P337" s="412"/>
      <c r="Q337" s="412"/>
      <c r="R337" s="412"/>
      <c r="S337" s="412"/>
      <c r="T337" s="515"/>
      <c r="U337" s="508"/>
      <c r="V337" s="694"/>
    </row>
    <row r="338" spans="1:22" ht="12.75">
      <c r="A338" s="1002">
        <v>54</v>
      </c>
      <c r="B338" s="546" t="s">
        <v>2275</v>
      </c>
      <c r="C338" s="1039"/>
      <c r="D338" s="1002" t="s">
        <v>1173</v>
      </c>
      <c r="E338" s="413" t="s">
        <v>484</v>
      </c>
      <c r="F338" s="412">
        <v>0.03</v>
      </c>
      <c r="G338" s="414">
        <f>G333</f>
        <v>1735.8392651707413</v>
      </c>
      <c r="H338" s="1059">
        <f>F338*G338</f>
        <v>52.075177955122236</v>
      </c>
      <c r="I338" s="1002" t="s">
        <v>275</v>
      </c>
      <c r="J338" s="412">
        <v>1</v>
      </c>
      <c r="K338" s="414">
        <v>0.1</v>
      </c>
      <c r="L338" s="414">
        <f>'Labour Cost'!F7</f>
        <v>20.81362580128205</v>
      </c>
      <c r="M338" s="412">
        <v>0.8</v>
      </c>
      <c r="N338" s="1090">
        <f>J338*K338*L338/M338</f>
        <v>2.601703225160256</v>
      </c>
      <c r="O338" s="1002" t="s">
        <v>277</v>
      </c>
      <c r="P338" s="417">
        <v>2</v>
      </c>
      <c r="Q338" s="417">
        <v>1</v>
      </c>
      <c r="R338" s="414">
        <f>R10</f>
        <v>0.32</v>
      </c>
      <c r="S338" s="412">
        <v>0.8</v>
      </c>
      <c r="T338" s="515">
        <f>P338*Q338*R338/S338</f>
        <v>0.7999999999999999</v>
      </c>
      <c r="U338" s="507"/>
      <c r="V338" s="694"/>
    </row>
    <row r="339" spans="1:22" ht="12.75">
      <c r="A339" s="1002"/>
      <c r="B339" s="546" t="s">
        <v>3237</v>
      </c>
      <c r="C339" s="1039" t="s">
        <v>24</v>
      </c>
      <c r="D339" s="1002" t="s">
        <v>1818</v>
      </c>
      <c r="E339" s="421">
        <v>0.1</v>
      </c>
      <c r="F339" s="412"/>
      <c r="G339" s="412"/>
      <c r="H339" s="1059">
        <f>H338*0.1</f>
        <v>5.207517795512224</v>
      </c>
      <c r="I339" s="1002" t="s">
        <v>1378</v>
      </c>
      <c r="J339" s="412">
        <v>1</v>
      </c>
      <c r="K339" s="414">
        <v>1</v>
      </c>
      <c r="L339" s="414">
        <f>'Labour Cost'!F12</f>
        <v>35</v>
      </c>
      <c r="M339" s="418">
        <f>M338</f>
        <v>0.8</v>
      </c>
      <c r="N339" s="1090">
        <f>J339*K339*L339/M339</f>
        <v>43.75</v>
      </c>
      <c r="O339" s="1002"/>
      <c r="P339" s="412"/>
      <c r="Q339" s="412"/>
      <c r="R339" s="412"/>
      <c r="S339" s="412"/>
      <c r="T339" s="514"/>
      <c r="U339" s="507"/>
      <c r="V339" s="694"/>
    </row>
    <row r="340" spans="1:22" ht="12.75">
      <c r="A340" s="1002"/>
      <c r="B340" s="546"/>
      <c r="C340" s="1039"/>
      <c r="D340" s="1002"/>
      <c r="E340" s="413"/>
      <c r="F340" s="412"/>
      <c r="G340" s="412"/>
      <c r="H340" s="1057"/>
      <c r="I340" s="1002" t="s">
        <v>1379</v>
      </c>
      <c r="J340" s="412">
        <v>2</v>
      </c>
      <c r="K340" s="414">
        <v>1</v>
      </c>
      <c r="L340" s="415">
        <f>'Labour Cost'!F21</f>
        <v>8.75</v>
      </c>
      <c r="M340" s="412">
        <f>M338</f>
        <v>0.8</v>
      </c>
      <c r="N340" s="1090">
        <f>J340*K340*L340/M340</f>
        <v>21.875</v>
      </c>
      <c r="O340" s="1002"/>
      <c r="P340" s="412"/>
      <c r="Q340" s="412"/>
      <c r="R340" s="412"/>
      <c r="S340" s="412"/>
      <c r="T340" s="514"/>
      <c r="U340" s="507"/>
      <c r="V340" s="694"/>
    </row>
    <row r="341" spans="1:22" ht="12.75">
      <c r="A341" s="1002"/>
      <c r="B341" s="546"/>
      <c r="C341" s="1039"/>
      <c r="D341" s="1002"/>
      <c r="E341" s="413"/>
      <c r="F341" s="412"/>
      <c r="G341" s="412"/>
      <c r="H341" s="1057"/>
      <c r="I341" s="1002" t="s">
        <v>1380</v>
      </c>
      <c r="J341" s="412">
        <v>1</v>
      </c>
      <c r="K341" s="414">
        <v>0.5</v>
      </c>
      <c r="L341" s="415">
        <f>'Labour Cost'!F14</f>
        <v>26.25</v>
      </c>
      <c r="M341" s="412">
        <f>M338</f>
        <v>0.8</v>
      </c>
      <c r="N341" s="1090">
        <f>J341*K341*L341/M341</f>
        <v>16.40625</v>
      </c>
      <c r="O341" s="1002"/>
      <c r="P341" s="412"/>
      <c r="Q341" s="412"/>
      <c r="R341" s="412"/>
      <c r="S341" s="412"/>
      <c r="T341" s="514"/>
      <c r="U341" s="507"/>
      <c r="V341" s="694"/>
    </row>
    <row r="342" spans="1:22" ht="12.75">
      <c r="A342" s="1004"/>
      <c r="B342" s="548"/>
      <c r="C342" s="1040"/>
      <c r="D342" s="1004"/>
      <c r="E342" s="521"/>
      <c r="F342" s="520"/>
      <c r="G342" s="520"/>
      <c r="H342" s="1005">
        <f>SUM(H338:H341)</f>
        <v>57.28269575063446</v>
      </c>
      <c r="I342" s="1004"/>
      <c r="J342" s="520"/>
      <c r="K342" s="522"/>
      <c r="L342" s="520"/>
      <c r="M342" s="520"/>
      <c r="N342" s="1005">
        <f>SUM(N338:N341)</f>
        <v>84.63295322516026</v>
      </c>
      <c r="O342" s="1004"/>
      <c r="P342" s="520"/>
      <c r="Q342" s="520"/>
      <c r="R342" s="520"/>
      <c r="S342" s="520"/>
      <c r="T342" s="522">
        <f>SUM(T338:T341)</f>
        <v>0.7999999999999999</v>
      </c>
      <c r="U342" s="522">
        <f>T342+N342+H342</f>
        <v>142.71564897579472</v>
      </c>
      <c r="V342" s="1005">
        <f>U342*$U$4</f>
        <v>192.42986749622588</v>
      </c>
    </row>
    <row r="343" spans="1:22" ht="12.75">
      <c r="A343" s="1002"/>
      <c r="B343" s="546"/>
      <c r="C343" s="1039"/>
      <c r="D343" s="1002"/>
      <c r="E343" s="413"/>
      <c r="F343" s="412"/>
      <c r="G343" s="412"/>
      <c r="H343" s="1057"/>
      <c r="I343" s="1002"/>
      <c r="J343" s="412"/>
      <c r="K343" s="414"/>
      <c r="L343" s="412"/>
      <c r="M343" s="412"/>
      <c r="N343" s="1091"/>
      <c r="O343" s="1002"/>
      <c r="P343" s="412"/>
      <c r="Q343" s="412"/>
      <c r="R343" s="412"/>
      <c r="S343" s="412"/>
      <c r="T343" s="514"/>
      <c r="U343" s="507"/>
      <c r="V343" s="694"/>
    </row>
    <row r="344" spans="1:22" ht="12.75">
      <c r="A344" s="1002">
        <v>55</v>
      </c>
      <c r="B344" s="546" t="s">
        <v>2277</v>
      </c>
      <c r="C344" s="1039"/>
      <c r="D344" s="1002" t="s">
        <v>1173</v>
      </c>
      <c r="E344" s="413" t="s">
        <v>25</v>
      </c>
      <c r="F344" s="414">
        <v>0.025</v>
      </c>
      <c r="G344" s="414">
        <f>G338</f>
        <v>1735.8392651707413</v>
      </c>
      <c r="H344" s="1059">
        <f>F344*G344</f>
        <v>43.39598162926853</v>
      </c>
      <c r="I344" s="1002" t="s">
        <v>275</v>
      </c>
      <c r="J344" s="412">
        <v>1</v>
      </c>
      <c r="K344" s="414">
        <v>0.1</v>
      </c>
      <c r="L344" s="414">
        <f>'Labour Cost'!F7</f>
        <v>20.81362580128205</v>
      </c>
      <c r="M344" s="414">
        <v>0.98</v>
      </c>
      <c r="N344" s="1090">
        <f>J344*K344*L344/M344</f>
        <v>2.12383936747776</v>
      </c>
      <c r="O344" s="1002" t="s">
        <v>277</v>
      </c>
      <c r="P344" s="417">
        <v>2</v>
      </c>
      <c r="Q344" s="417">
        <v>1</v>
      </c>
      <c r="R344" s="414">
        <f>R10</f>
        <v>0.32</v>
      </c>
      <c r="S344" s="414">
        <v>0.98</v>
      </c>
      <c r="T344" s="515">
        <f>P344*Q344*R344/S344</f>
        <v>0.653061224489796</v>
      </c>
      <c r="U344" s="507"/>
      <c r="V344" s="694"/>
    </row>
    <row r="345" spans="1:22" ht="12.75">
      <c r="A345" s="1002"/>
      <c r="B345" s="546" t="s">
        <v>2278</v>
      </c>
      <c r="C345" s="1039"/>
      <c r="D345" s="1002" t="s">
        <v>1871</v>
      </c>
      <c r="E345" s="421">
        <v>0.1</v>
      </c>
      <c r="F345" s="412"/>
      <c r="G345" s="412"/>
      <c r="H345" s="1059">
        <f>H344*0.01</f>
        <v>0.4339598162926853</v>
      </c>
      <c r="I345" s="1002" t="s">
        <v>1381</v>
      </c>
      <c r="J345" s="412">
        <v>1</v>
      </c>
      <c r="K345" s="414">
        <v>1</v>
      </c>
      <c r="L345" s="414">
        <f>'Labour Cost'!F12</f>
        <v>35</v>
      </c>
      <c r="M345" s="414">
        <v>0.98</v>
      </c>
      <c r="N345" s="1090">
        <f>J345*K345*L345/M345</f>
        <v>35.714285714285715</v>
      </c>
      <c r="O345" s="1002"/>
      <c r="P345" s="412"/>
      <c r="Q345" s="412"/>
      <c r="R345" s="412"/>
      <c r="S345" s="412"/>
      <c r="T345" s="514"/>
      <c r="U345" s="507"/>
      <c r="V345" s="694"/>
    </row>
    <row r="346" spans="1:22" ht="12.75">
      <c r="A346" s="1002"/>
      <c r="B346" s="546" t="s">
        <v>2276</v>
      </c>
      <c r="C346" s="1039" t="s">
        <v>24</v>
      </c>
      <c r="D346" s="1002"/>
      <c r="E346" s="413"/>
      <c r="F346" s="412"/>
      <c r="G346" s="412"/>
      <c r="H346" s="1057"/>
      <c r="I346" s="1002" t="s">
        <v>1382</v>
      </c>
      <c r="J346" s="412">
        <v>2</v>
      </c>
      <c r="K346" s="414">
        <v>1</v>
      </c>
      <c r="L346" s="414">
        <f>'Labour Cost'!F21</f>
        <v>8.75</v>
      </c>
      <c r="M346" s="412">
        <v>0.98</v>
      </c>
      <c r="N346" s="1090">
        <f>J346*K346*L346/M346</f>
        <v>17.857142857142858</v>
      </c>
      <c r="O346" s="1002"/>
      <c r="P346" s="412"/>
      <c r="Q346" s="412"/>
      <c r="R346" s="412"/>
      <c r="S346" s="412"/>
      <c r="T346" s="514"/>
      <c r="U346" s="507"/>
      <c r="V346" s="694"/>
    </row>
    <row r="347" spans="1:22" ht="12.75">
      <c r="A347" s="1004"/>
      <c r="B347" s="548"/>
      <c r="C347" s="1040"/>
      <c r="D347" s="1004"/>
      <c r="E347" s="521"/>
      <c r="F347" s="520"/>
      <c r="G347" s="520"/>
      <c r="H347" s="1005">
        <f>SUM(H344:H346)</f>
        <v>43.82994144556122</v>
      </c>
      <c r="I347" s="1004"/>
      <c r="J347" s="520"/>
      <c r="K347" s="522"/>
      <c r="L347" s="520"/>
      <c r="M347" s="520"/>
      <c r="N347" s="1005">
        <f>SUM(N344:N346)</f>
        <v>55.695267938906326</v>
      </c>
      <c r="O347" s="1004"/>
      <c r="P347" s="520"/>
      <c r="Q347" s="520"/>
      <c r="R347" s="520"/>
      <c r="S347" s="520"/>
      <c r="T347" s="522">
        <f>SUM(T344:T346)</f>
        <v>0.653061224489796</v>
      </c>
      <c r="U347" s="522">
        <f>T347+N347+H347</f>
        <v>100.17827060895735</v>
      </c>
      <c r="V347" s="1005">
        <f>U347*$U$4</f>
        <v>135.07482520401282</v>
      </c>
    </row>
    <row r="348" spans="1:22" ht="12.75">
      <c r="A348" s="1002"/>
      <c r="B348" s="546"/>
      <c r="C348" s="1039"/>
      <c r="D348" s="1002"/>
      <c r="E348" s="413"/>
      <c r="F348" s="412"/>
      <c r="G348" s="412"/>
      <c r="H348" s="1057"/>
      <c r="I348" s="1002"/>
      <c r="J348" s="412"/>
      <c r="K348" s="414"/>
      <c r="L348" s="412"/>
      <c r="M348" s="412"/>
      <c r="N348" s="1091"/>
      <c r="O348" s="1002"/>
      <c r="P348" s="412"/>
      <c r="Q348" s="412"/>
      <c r="R348" s="412"/>
      <c r="S348" s="412"/>
      <c r="T348" s="514"/>
      <c r="U348" s="507"/>
      <c r="V348" s="694"/>
    </row>
    <row r="349" spans="1:22" ht="12.75">
      <c r="A349" s="1002">
        <v>56</v>
      </c>
      <c r="B349" s="546" t="s">
        <v>2279</v>
      </c>
      <c r="C349" s="1039"/>
      <c r="D349" s="1002" t="s">
        <v>1173</v>
      </c>
      <c r="E349" s="413" t="s">
        <v>25</v>
      </c>
      <c r="F349" s="422">
        <v>0.008</v>
      </c>
      <c r="G349" s="414">
        <f>G344</f>
        <v>1735.8392651707413</v>
      </c>
      <c r="H349" s="1059">
        <f>F349*G349</f>
        <v>13.88671412136593</v>
      </c>
      <c r="I349" s="1002" t="s">
        <v>275</v>
      </c>
      <c r="J349" s="412">
        <v>1</v>
      </c>
      <c r="K349" s="414">
        <v>0.2</v>
      </c>
      <c r="L349" s="414">
        <f>'Labour Cost'!F7</f>
        <v>20.81362580128205</v>
      </c>
      <c r="M349" s="414">
        <v>1.75</v>
      </c>
      <c r="N349" s="1090">
        <f>J349*K349*L349/M349</f>
        <v>2.3787000915750913</v>
      </c>
      <c r="O349" s="1002" t="s">
        <v>277</v>
      </c>
      <c r="P349" s="417">
        <v>2</v>
      </c>
      <c r="Q349" s="417">
        <v>1</v>
      </c>
      <c r="R349" s="414">
        <f>R10</f>
        <v>0.32</v>
      </c>
      <c r="S349" s="414">
        <v>1.75</v>
      </c>
      <c r="T349" s="515">
        <f>P349*R349/S349</f>
        <v>0.3657142857142857</v>
      </c>
      <c r="U349" s="507"/>
      <c r="V349" s="694"/>
    </row>
    <row r="350" spans="1:22" ht="12.75">
      <c r="A350" s="1002"/>
      <c r="B350" s="546" t="s">
        <v>2280</v>
      </c>
      <c r="C350" s="1039" t="s">
        <v>24</v>
      </c>
      <c r="D350" s="1002" t="s">
        <v>1871</v>
      </c>
      <c r="E350" s="421">
        <v>0.1</v>
      </c>
      <c r="F350" s="412"/>
      <c r="G350" s="414"/>
      <c r="H350" s="1059">
        <f>H349*0.01</f>
        <v>0.1388671412136593</v>
      </c>
      <c r="I350" s="1002" t="s">
        <v>1381</v>
      </c>
      <c r="J350" s="412">
        <v>1</v>
      </c>
      <c r="K350" s="414">
        <v>1</v>
      </c>
      <c r="L350" s="414">
        <f>'Labour Cost'!F12</f>
        <v>35</v>
      </c>
      <c r="M350" s="414">
        <v>1.75</v>
      </c>
      <c r="N350" s="1090">
        <f>J350*K350*L350/M350</f>
        <v>20</v>
      </c>
      <c r="O350" s="1002"/>
      <c r="P350" s="412"/>
      <c r="Q350" s="412"/>
      <c r="R350" s="412"/>
      <c r="S350" s="412"/>
      <c r="T350" s="514"/>
      <c r="U350" s="507"/>
      <c r="V350" s="694"/>
    </row>
    <row r="351" spans="1:22" ht="12.75">
      <c r="A351" s="1002"/>
      <c r="B351" s="546"/>
      <c r="C351" s="1039"/>
      <c r="D351" s="1002"/>
      <c r="E351" s="413"/>
      <c r="F351" s="412"/>
      <c r="G351" s="414"/>
      <c r="H351" s="1057"/>
      <c r="I351" s="1002" t="s">
        <v>1382</v>
      </c>
      <c r="J351" s="412">
        <v>2</v>
      </c>
      <c r="K351" s="414">
        <v>1</v>
      </c>
      <c r="L351" s="414">
        <f>'Labour Cost'!F21</f>
        <v>8.75</v>
      </c>
      <c r="M351" s="414">
        <v>1.75</v>
      </c>
      <c r="N351" s="1090">
        <f>J351*K351*L351/M351</f>
        <v>10</v>
      </c>
      <c r="O351" s="1002"/>
      <c r="P351" s="412"/>
      <c r="Q351" s="412"/>
      <c r="R351" s="412"/>
      <c r="S351" s="412"/>
      <c r="T351" s="514"/>
      <c r="U351" s="507"/>
      <c r="V351" s="694"/>
    </row>
    <row r="352" spans="1:22" ht="12.75">
      <c r="A352" s="1004"/>
      <c r="B352" s="548"/>
      <c r="C352" s="1040"/>
      <c r="D352" s="1004"/>
      <c r="E352" s="521"/>
      <c r="F352" s="520"/>
      <c r="G352" s="522"/>
      <c r="H352" s="1005">
        <f>SUM(H349:H351)</f>
        <v>14.025581262579589</v>
      </c>
      <c r="I352" s="1004"/>
      <c r="J352" s="520"/>
      <c r="K352" s="522"/>
      <c r="L352" s="520"/>
      <c r="M352" s="520"/>
      <c r="N352" s="1005">
        <f>SUM(N349:N351)</f>
        <v>32.37870009157509</v>
      </c>
      <c r="O352" s="1004"/>
      <c r="P352" s="520"/>
      <c r="Q352" s="520"/>
      <c r="R352" s="520"/>
      <c r="S352" s="520"/>
      <c r="T352" s="522">
        <f>SUM(T349:T351)</f>
        <v>0.3657142857142857</v>
      </c>
      <c r="U352" s="522">
        <f>T352+N352+H352</f>
        <v>46.76999563986897</v>
      </c>
      <c r="V352" s="1005">
        <f>U352*$U$4</f>
        <v>63.062068724541085</v>
      </c>
    </row>
    <row r="353" spans="1:22" ht="12.75">
      <c r="A353" s="1002"/>
      <c r="B353" s="546"/>
      <c r="C353" s="1039"/>
      <c r="D353" s="1002"/>
      <c r="E353" s="413"/>
      <c r="F353" s="412"/>
      <c r="G353" s="414"/>
      <c r="H353" s="1057"/>
      <c r="I353" s="1002"/>
      <c r="J353" s="412"/>
      <c r="K353" s="414"/>
      <c r="L353" s="412"/>
      <c r="M353" s="412"/>
      <c r="N353" s="1091"/>
      <c r="O353" s="1002"/>
      <c r="P353" s="412"/>
      <c r="Q353" s="412"/>
      <c r="R353" s="412"/>
      <c r="S353" s="412"/>
      <c r="T353" s="514"/>
      <c r="U353" s="507"/>
      <c r="V353" s="694"/>
    </row>
    <row r="354" spans="1:22" ht="12.75">
      <c r="A354" s="1002">
        <v>57</v>
      </c>
      <c r="B354" s="546" t="s">
        <v>777</v>
      </c>
      <c r="C354" s="1039" t="s">
        <v>24</v>
      </c>
      <c r="D354" s="1002" t="s">
        <v>1173</v>
      </c>
      <c r="E354" s="413" t="s">
        <v>25</v>
      </c>
      <c r="F354" s="422">
        <v>0.01</v>
      </c>
      <c r="G354" s="414">
        <f>G344</f>
        <v>1735.8392651707413</v>
      </c>
      <c r="H354" s="1059">
        <f>F354*G354</f>
        <v>17.358392651707415</v>
      </c>
      <c r="I354" s="1002" t="s">
        <v>275</v>
      </c>
      <c r="J354" s="412">
        <v>1</v>
      </c>
      <c r="K354" s="414">
        <v>0.2</v>
      </c>
      <c r="L354" s="414">
        <f>'Labour Cost'!F7</f>
        <v>20.81362580128205</v>
      </c>
      <c r="M354" s="414">
        <v>2.5</v>
      </c>
      <c r="N354" s="1090">
        <f>J354*K354*L354/M354</f>
        <v>1.6650900641025639</v>
      </c>
      <c r="O354" s="1002" t="s">
        <v>277</v>
      </c>
      <c r="P354" s="417">
        <v>2</v>
      </c>
      <c r="Q354" s="417">
        <v>1</v>
      </c>
      <c r="R354" s="414">
        <f>R10</f>
        <v>0.32</v>
      </c>
      <c r="S354" s="414">
        <v>2.5</v>
      </c>
      <c r="T354" s="515">
        <f>P354*R354/S354</f>
        <v>0.256</v>
      </c>
      <c r="U354" s="507"/>
      <c r="V354" s="694"/>
    </row>
    <row r="355" spans="1:22" ht="12.75">
      <c r="A355" s="1002"/>
      <c r="B355" s="546" t="s">
        <v>778</v>
      </c>
      <c r="C355" s="1039"/>
      <c r="D355" s="1002" t="s">
        <v>1871</v>
      </c>
      <c r="E355" s="421">
        <v>0.1</v>
      </c>
      <c r="F355" s="412"/>
      <c r="G355" s="412"/>
      <c r="H355" s="1059">
        <f>H354*0.01</f>
        <v>0.17358392651707416</v>
      </c>
      <c r="I355" s="1002" t="s">
        <v>1381</v>
      </c>
      <c r="J355" s="412">
        <v>1</v>
      </c>
      <c r="K355" s="414">
        <v>1</v>
      </c>
      <c r="L355" s="414">
        <f>'Labour Cost'!F12</f>
        <v>35</v>
      </c>
      <c r="M355" s="414">
        <v>2.5</v>
      </c>
      <c r="N355" s="1090">
        <f>J355*K355*L355/M355</f>
        <v>14</v>
      </c>
      <c r="O355" s="1002"/>
      <c r="P355" s="412"/>
      <c r="Q355" s="412"/>
      <c r="R355" s="412"/>
      <c r="S355" s="412"/>
      <c r="T355" s="514"/>
      <c r="U355" s="507"/>
      <c r="V355" s="694"/>
    </row>
    <row r="356" spans="1:22" ht="12.75">
      <c r="A356" s="1002"/>
      <c r="B356" s="546"/>
      <c r="C356" s="1039"/>
      <c r="D356" s="1002"/>
      <c r="E356" s="413"/>
      <c r="F356" s="412"/>
      <c r="G356" s="412"/>
      <c r="H356" s="1057"/>
      <c r="I356" s="1002" t="s">
        <v>1382</v>
      </c>
      <c r="J356" s="412">
        <v>2</v>
      </c>
      <c r="K356" s="414">
        <v>1</v>
      </c>
      <c r="L356" s="414">
        <f>'Labour Cost'!F21</f>
        <v>8.75</v>
      </c>
      <c r="M356" s="414">
        <v>2.5</v>
      </c>
      <c r="N356" s="1090">
        <f>J356*K356*L356/M356</f>
        <v>7</v>
      </c>
      <c r="O356" s="1002"/>
      <c r="P356" s="412"/>
      <c r="Q356" s="412"/>
      <c r="R356" s="412"/>
      <c r="S356" s="412"/>
      <c r="T356" s="514"/>
      <c r="U356" s="507"/>
      <c r="V356" s="694"/>
    </row>
    <row r="357" spans="1:22" ht="12.75">
      <c r="A357" s="1004"/>
      <c r="B357" s="548"/>
      <c r="C357" s="1040"/>
      <c r="D357" s="1004"/>
      <c r="E357" s="521"/>
      <c r="F357" s="520"/>
      <c r="G357" s="520"/>
      <c r="H357" s="1005">
        <f>SUM(H354:H356)</f>
        <v>17.53197657822449</v>
      </c>
      <c r="I357" s="1004"/>
      <c r="J357" s="520"/>
      <c r="K357" s="522"/>
      <c r="L357" s="520"/>
      <c r="M357" s="520"/>
      <c r="N357" s="1005">
        <f>SUM(N354:N356)</f>
        <v>22.665090064102564</v>
      </c>
      <c r="O357" s="1004"/>
      <c r="P357" s="520"/>
      <c r="Q357" s="520"/>
      <c r="R357" s="520"/>
      <c r="S357" s="520"/>
      <c r="T357" s="522">
        <f>SUM(T354:T356)</f>
        <v>0.256</v>
      </c>
      <c r="U357" s="522">
        <f>T357+N357+H357</f>
        <v>40.45306664232706</v>
      </c>
      <c r="V357" s="1005">
        <f>U357*$U$4</f>
        <v>54.54467193796849</v>
      </c>
    </row>
    <row r="358" spans="1:22" s="64" customFormat="1" ht="15.75" customHeight="1">
      <c r="A358" s="1011"/>
      <c r="B358" s="546"/>
      <c r="C358" s="436"/>
      <c r="D358" s="1011"/>
      <c r="E358" s="410"/>
      <c r="F358" s="410"/>
      <c r="G358" s="410"/>
      <c r="H358" s="1065"/>
      <c r="I358" s="1011"/>
      <c r="J358" s="410"/>
      <c r="K358" s="410"/>
      <c r="L358" s="410"/>
      <c r="M358" s="410"/>
      <c r="N358" s="1089"/>
      <c r="O358" s="1011"/>
      <c r="P358" s="410"/>
      <c r="Q358" s="410"/>
      <c r="R358" s="410"/>
      <c r="S358" s="410"/>
      <c r="T358" s="513"/>
      <c r="U358" s="517"/>
      <c r="V358" s="1005"/>
    </row>
    <row r="359" spans="1:22" s="64" customFormat="1" ht="15.75" customHeight="1">
      <c r="A359" s="1012">
        <v>58</v>
      </c>
      <c r="B359" s="546" t="s">
        <v>2281</v>
      </c>
      <c r="C359" s="535"/>
      <c r="D359" s="1012" t="s">
        <v>2282</v>
      </c>
      <c r="E359" s="536" t="s">
        <v>3238</v>
      </c>
      <c r="F359" s="533">
        <v>1</v>
      </c>
      <c r="G359" s="532">
        <v>42</v>
      </c>
      <c r="H359" s="1068">
        <f>F359*G359</f>
        <v>42</v>
      </c>
      <c r="I359" s="1012" t="s">
        <v>275</v>
      </c>
      <c r="J359" s="533">
        <v>1</v>
      </c>
      <c r="K359" s="532">
        <v>0.1</v>
      </c>
      <c r="L359" s="534">
        <f>'Labour Cost'!F7</f>
        <v>20.81362580128205</v>
      </c>
      <c r="M359" s="532">
        <v>2</v>
      </c>
      <c r="N359" s="1095">
        <f>J359*K359*L359/M359</f>
        <v>1.0406812900641025</v>
      </c>
      <c r="O359" s="1012" t="s">
        <v>2339</v>
      </c>
      <c r="P359" s="533">
        <v>2</v>
      </c>
      <c r="Q359" s="533">
        <v>1</v>
      </c>
      <c r="R359" s="533">
        <f>R10</f>
        <v>0.32</v>
      </c>
      <c r="S359" s="532">
        <v>2</v>
      </c>
      <c r="T359" s="538">
        <f>P359*Q359*R359/S359</f>
        <v>0.32</v>
      </c>
      <c r="U359" s="539"/>
      <c r="V359" s="1005"/>
    </row>
    <row r="360" spans="1:22" s="64" customFormat="1" ht="15.75" customHeight="1">
      <c r="A360" s="1012"/>
      <c r="B360" s="546" t="s">
        <v>2280</v>
      </c>
      <c r="C360" s="1050" t="s">
        <v>3238</v>
      </c>
      <c r="D360" s="1012" t="s">
        <v>2340</v>
      </c>
      <c r="E360" s="537">
        <v>0.05</v>
      </c>
      <c r="F360" s="533"/>
      <c r="G360" s="533"/>
      <c r="H360" s="1068">
        <f>H359*0.05</f>
        <v>2.1</v>
      </c>
      <c r="I360" s="1012" t="s">
        <v>2338</v>
      </c>
      <c r="J360" s="533">
        <v>1</v>
      </c>
      <c r="K360" s="532">
        <v>1</v>
      </c>
      <c r="L360" s="534">
        <f>'Labour Cost'!F12</f>
        <v>35</v>
      </c>
      <c r="M360" s="532">
        <v>2</v>
      </c>
      <c r="N360" s="1095">
        <f>J360*K360*L360/M360</f>
        <v>17.5</v>
      </c>
      <c r="O360" s="1012"/>
      <c r="P360" s="533"/>
      <c r="Q360" s="533"/>
      <c r="R360" s="533"/>
      <c r="S360" s="533"/>
      <c r="T360" s="538"/>
      <c r="U360" s="539"/>
      <c r="V360" s="1005"/>
    </row>
    <row r="361" spans="1:22" s="64" customFormat="1" ht="15.75" customHeight="1">
      <c r="A361" s="1011"/>
      <c r="B361" s="546"/>
      <c r="C361" s="436"/>
      <c r="D361" s="1011"/>
      <c r="E361" s="410"/>
      <c r="F361" s="533"/>
      <c r="G361" s="533"/>
      <c r="H361" s="1068"/>
      <c r="I361" s="1012" t="s">
        <v>1705</v>
      </c>
      <c r="J361" s="533">
        <v>2</v>
      </c>
      <c r="K361" s="532">
        <v>1</v>
      </c>
      <c r="L361" s="534">
        <f>'Labour Cost'!F21</f>
        <v>8.75</v>
      </c>
      <c r="M361" s="532">
        <v>2</v>
      </c>
      <c r="N361" s="1095">
        <f>J361*K361*L361/M361</f>
        <v>8.75</v>
      </c>
      <c r="O361" s="1012"/>
      <c r="P361" s="533"/>
      <c r="Q361" s="533"/>
      <c r="R361" s="533"/>
      <c r="S361" s="533"/>
      <c r="T361" s="538"/>
      <c r="U361" s="539"/>
      <c r="V361" s="1005"/>
    </row>
    <row r="362" spans="1:22" s="529" customFormat="1" ht="15.75" customHeight="1">
      <c r="A362" s="1004"/>
      <c r="B362" s="548"/>
      <c r="C362" s="526"/>
      <c r="D362" s="1004"/>
      <c r="E362" s="520"/>
      <c r="F362" s="520"/>
      <c r="G362" s="520"/>
      <c r="H362" s="1005">
        <f>SUM(H359:H361)</f>
        <v>44.1</v>
      </c>
      <c r="I362" s="1004"/>
      <c r="J362" s="520"/>
      <c r="K362" s="520"/>
      <c r="L362" s="520"/>
      <c r="M362" s="520"/>
      <c r="N362" s="1005">
        <f>SUM(N359:N361)</f>
        <v>27.290681290064104</v>
      </c>
      <c r="O362" s="1004"/>
      <c r="P362" s="520"/>
      <c r="Q362" s="520"/>
      <c r="R362" s="520"/>
      <c r="S362" s="520"/>
      <c r="T362" s="520">
        <f>SUM(T359:T361)</f>
        <v>0.32</v>
      </c>
      <c r="U362" s="522">
        <f>H362+N362+T362</f>
        <v>71.7106812900641</v>
      </c>
      <c r="V362" s="1005">
        <f>U362*$U$4</f>
        <v>96.6907062942449</v>
      </c>
    </row>
    <row r="363" spans="1:22" s="64" customFormat="1" ht="15.75" customHeight="1">
      <c r="A363" s="1011"/>
      <c r="B363" s="546"/>
      <c r="C363" s="436"/>
      <c r="D363" s="1011"/>
      <c r="E363" s="410"/>
      <c r="F363" s="410"/>
      <c r="G363" s="410"/>
      <c r="H363" s="1065"/>
      <c r="I363" s="1011"/>
      <c r="J363" s="410"/>
      <c r="K363" s="410"/>
      <c r="L363" s="410"/>
      <c r="M363" s="410"/>
      <c r="N363" s="1089"/>
      <c r="O363" s="1011"/>
      <c r="P363" s="410"/>
      <c r="Q363" s="410"/>
      <c r="R363" s="410"/>
      <c r="S363" s="410"/>
      <c r="T363" s="513"/>
      <c r="U363" s="517"/>
      <c r="V363" s="1005"/>
    </row>
    <row r="364" spans="1:22" s="64" customFormat="1" ht="15.75" customHeight="1">
      <c r="A364" s="1011">
        <v>59</v>
      </c>
      <c r="B364" s="546" t="s">
        <v>3236</v>
      </c>
      <c r="C364" s="436"/>
      <c r="D364" s="1011" t="s">
        <v>1966</v>
      </c>
      <c r="E364" s="413" t="s">
        <v>25</v>
      </c>
      <c r="F364" s="531">
        <v>0.01</v>
      </c>
      <c r="G364" s="532">
        <f>G354</f>
        <v>1735.8392651707413</v>
      </c>
      <c r="H364" s="1068">
        <f>F364*G364</f>
        <v>17.358392651707415</v>
      </c>
      <c r="I364" s="1011" t="s">
        <v>275</v>
      </c>
      <c r="J364" s="533">
        <v>1</v>
      </c>
      <c r="K364" s="532">
        <v>0.17</v>
      </c>
      <c r="L364" s="534">
        <f>'Labour Cost'!F7</f>
        <v>20.81362580128205</v>
      </c>
      <c r="M364" s="532">
        <v>3</v>
      </c>
      <c r="N364" s="1095">
        <f>K364*L364/M364</f>
        <v>1.1794387954059828</v>
      </c>
      <c r="O364" s="1002" t="s">
        <v>277</v>
      </c>
      <c r="P364" s="417">
        <v>2</v>
      </c>
      <c r="Q364" s="417">
        <v>1</v>
      </c>
      <c r="R364" s="414">
        <f>R10</f>
        <v>0.32</v>
      </c>
      <c r="S364" s="414">
        <v>3</v>
      </c>
      <c r="T364" s="515">
        <f>P364*R364/S364</f>
        <v>0.21333333333333335</v>
      </c>
      <c r="U364" s="517"/>
      <c r="V364" s="1005"/>
    </row>
    <row r="365" spans="1:22" s="64" customFormat="1" ht="15.75" customHeight="1">
      <c r="A365" s="1011"/>
      <c r="B365" s="1029" t="s">
        <v>1064</v>
      </c>
      <c r="C365" s="1039" t="s">
        <v>25</v>
      </c>
      <c r="D365" s="1011"/>
      <c r="E365" s="410"/>
      <c r="F365" s="533"/>
      <c r="G365" s="533"/>
      <c r="H365" s="1069"/>
      <c r="I365" s="1002" t="s">
        <v>1857</v>
      </c>
      <c r="J365" s="533">
        <v>1</v>
      </c>
      <c r="K365" s="532">
        <v>1</v>
      </c>
      <c r="L365" s="534">
        <f>'Labour Cost'!F12</f>
        <v>35</v>
      </c>
      <c r="M365" s="532">
        <v>3</v>
      </c>
      <c r="N365" s="1095">
        <f>J365*L365/M365</f>
        <v>11.666666666666666</v>
      </c>
      <c r="O365" s="1011"/>
      <c r="P365" s="410"/>
      <c r="Q365" s="410"/>
      <c r="R365" s="410"/>
      <c r="S365" s="410"/>
      <c r="T365" s="513"/>
      <c r="U365" s="517"/>
      <c r="V365" s="1005"/>
    </row>
    <row r="366" spans="1:22" s="64" customFormat="1" ht="15.75" customHeight="1">
      <c r="A366" s="1011"/>
      <c r="B366" s="546"/>
      <c r="C366" s="436"/>
      <c r="D366" s="1011"/>
      <c r="E366" s="410"/>
      <c r="F366" s="533"/>
      <c r="G366" s="533"/>
      <c r="H366" s="1069"/>
      <c r="I366" s="1002" t="s">
        <v>2424</v>
      </c>
      <c r="J366" s="533">
        <v>2</v>
      </c>
      <c r="K366" s="532">
        <v>1</v>
      </c>
      <c r="L366" s="534">
        <f>'Labour Cost'!F21</f>
        <v>8.75</v>
      </c>
      <c r="M366" s="532">
        <v>3</v>
      </c>
      <c r="N366" s="1095">
        <f>J366*L366/M366</f>
        <v>5.833333333333333</v>
      </c>
      <c r="O366" s="1011"/>
      <c r="P366" s="410"/>
      <c r="Q366" s="410"/>
      <c r="R366" s="410"/>
      <c r="S366" s="410"/>
      <c r="T366" s="513"/>
      <c r="U366" s="517"/>
      <c r="V366" s="1005"/>
    </row>
    <row r="367" spans="1:22" s="64" customFormat="1" ht="12.75">
      <c r="A367" s="1004"/>
      <c r="B367" s="548"/>
      <c r="C367" s="1040"/>
      <c r="D367" s="1004"/>
      <c r="E367" s="521"/>
      <c r="F367" s="541"/>
      <c r="G367" s="541"/>
      <c r="H367" s="1070">
        <f>SUM(H364:H366)</f>
        <v>17.358392651707415</v>
      </c>
      <c r="I367" s="1004"/>
      <c r="J367" s="520"/>
      <c r="K367" s="522"/>
      <c r="L367" s="520"/>
      <c r="M367" s="520"/>
      <c r="N367" s="1005">
        <f>SUM(N364:N366)</f>
        <v>18.679438795405982</v>
      </c>
      <c r="O367" s="1004"/>
      <c r="P367" s="520"/>
      <c r="Q367" s="520"/>
      <c r="R367" s="520"/>
      <c r="S367" s="520"/>
      <c r="T367" s="522">
        <f>SUM(T364:T366)</f>
        <v>0.21333333333333335</v>
      </c>
      <c r="U367" s="522">
        <f>H367+N367+T367</f>
        <v>36.25116478044673</v>
      </c>
      <c r="V367" s="1005">
        <f>U367*$U$4</f>
        <v>48.879060462867294</v>
      </c>
    </row>
    <row r="368" spans="1:22" ht="12.75">
      <c r="A368" s="1002"/>
      <c r="B368" s="546"/>
      <c r="C368" s="1039"/>
      <c r="D368" s="1002"/>
      <c r="E368" s="413"/>
      <c r="F368" s="412"/>
      <c r="G368" s="412"/>
      <c r="H368" s="1065"/>
      <c r="I368" s="1002"/>
      <c r="J368" s="412"/>
      <c r="K368" s="414"/>
      <c r="L368" s="412"/>
      <c r="M368" s="412"/>
      <c r="N368" s="1091"/>
      <c r="O368" s="1002"/>
      <c r="P368" s="412"/>
      <c r="Q368" s="412"/>
      <c r="R368" s="412"/>
      <c r="S368" s="412"/>
      <c r="T368" s="514"/>
      <c r="U368" s="507"/>
      <c r="V368" s="1005"/>
    </row>
    <row r="369" spans="1:22" ht="12.75">
      <c r="A369" s="1002">
        <v>60</v>
      </c>
      <c r="B369" s="1030" t="s">
        <v>1967</v>
      </c>
      <c r="C369" s="1039"/>
      <c r="D369" s="1071" t="s">
        <v>1969</v>
      </c>
      <c r="E369" s="453" t="s">
        <v>24</v>
      </c>
      <c r="F369" s="420">
        <v>1</v>
      </c>
      <c r="G369" s="416">
        <f>'Material price'!D110</f>
        <v>188</v>
      </c>
      <c r="H369" s="1068">
        <f>G369*F369</f>
        <v>188</v>
      </c>
      <c r="I369" s="1002" t="s">
        <v>275</v>
      </c>
      <c r="J369" s="412">
        <v>1</v>
      </c>
      <c r="K369" s="414">
        <v>0.25</v>
      </c>
      <c r="L369" s="415">
        <f>'Labour Cost'!F7</f>
        <v>20.81362580128205</v>
      </c>
      <c r="M369" s="412">
        <v>0.75</v>
      </c>
      <c r="N369" s="1091">
        <f>K369*L369/M369</f>
        <v>6.937875267094017</v>
      </c>
      <c r="O369" s="1002" t="s">
        <v>277</v>
      </c>
      <c r="P369" s="417">
        <v>2</v>
      </c>
      <c r="Q369" s="417">
        <v>1</v>
      </c>
      <c r="R369" s="414">
        <f>R10</f>
        <v>0.32</v>
      </c>
      <c r="S369" s="414">
        <v>0.98</v>
      </c>
      <c r="T369" s="515">
        <f>P369*Q369*R369/S369</f>
        <v>0.653061224489796</v>
      </c>
      <c r="U369" s="507"/>
      <c r="V369" s="1005"/>
    </row>
    <row r="370" spans="1:22" ht="12.75">
      <c r="A370" s="1002"/>
      <c r="B370" s="546" t="s">
        <v>1968</v>
      </c>
      <c r="C370" s="1039"/>
      <c r="D370" s="1002" t="s">
        <v>1970</v>
      </c>
      <c r="E370" s="413"/>
      <c r="F370" s="412"/>
      <c r="G370" s="412"/>
      <c r="H370" s="1065"/>
      <c r="I370" s="1002" t="s">
        <v>2010</v>
      </c>
      <c r="J370" s="412">
        <v>1</v>
      </c>
      <c r="K370" s="414">
        <v>1</v>
      </c>
      <c r="L370" s="415">
        <f>'Labour Cost'!F13</f>
        <v>35</v>
      </c>
      <c r="M370" s="412">
        <v>0.75</v>
      </c>
      <c r="N370" s="1091">
        <f>K370*L370/M370</f>
        <v>46.666666666666664</v>
      </c>
      <c r="O370" s="1002"/>
      <c r="P370" s="412"/>
      <c r="Q370" s="412"/>
      <c r="R370" s="412"/>
      <c r="S370" s="412"/>
      <c r="T370" s="514"/>
      <c r="U370" s="507"/>
      <c r="V370" s="1005"/>
    </row>
    <row r="371" spans="1:22" ht="12.75">
      <c r="A371" s="1002"/>
      <c r="B371" s="546"/>
      <c r="C371" s="1039"/>
      <c r="D371" s="1002" t="s">
        <v>1971</v>
      </c>
      <c r="E371" s="413"/>
      <c r="F371" s="412"/>
      <c r="G371" s="412"/>
      <c r="H371" s="1065"/>
      <c r="I371" s="1002" t="s">
        <v>2012</v>
      </c>
      <c r="J371" s="412">
        <v>2</v>
      </c>
      <c r="K371" s="414">
        <v>1</v>
      </c>
      <c r="L371" s="415">
        <f>'Labour Cost'!F21</f>
        <v>8.75</v>
      </c>
      <c r="M371" s="412">
        <v>0.75</v>
      </c>
      <c r="N371" s="1091">
        <f>J371/0.75</f>
        <v>2.6666666666666665</v>
      </c>
      <c r="O371" s="1002"/>
      <c r="P371" s="412"/>
      <c r="Q371" s="412"/>
      <c r="R371" s="412"/>
      <c r="S371" s="412"/>
      <c r="T371" s="514"/>
      <c r="U371" s="507"/>
      <c r="V371" s="1005"/>
    </row>
    <row r="372" spans="1:22" ht="12.75">
      <c r="A372" s="1002"/>
      <c r="B372" s="546"/>
      <c r="C372" s="1038"/>
      <c r="D372" s="1002" t="s">
        <v>1972</v>
      </c>
      <c r="E372" s="413"/>
      <c r="F372" s="412"/>
      <c r="G372" s="412"/>
      <c r="H372" s="1065"/>
      <c r="I372" s="1002"/>
      <c r="J372" s="412"/>
      <c r="K372" s="414"/>
      <c r="L372" s="412"/>
      <c r="M372" s="412"/>
      <c r="N372" s="1091"/>
      <c r="O372" s="1002"/>
      <c r="P372" s="412"/>
      <c r="Q372" s="412"/>
      <c r="R372" s="412"/>
      <c r="S372" s="412"/>
      <c r="T372" s="514"/>
      <c r="U372" s="507"/>
      <c r="V372" s="1005"/>
    </row>
    <row r="373" spans="1:22" ht="12.75">
      <c r="A373" s="1002"/>
      <c r="B373" s="546"/>
      <c r="C373" s="1039"/>
      <c r="D373" s="1002" t="s">
        <v>1973</v>
      </c>
      <c r="E373" s="413"/>
      <c r="F373" s="412"/>
      <c r="G373" s="412"/>
      <c r="H373" s="1065"/>
      <c r="I373" s="1002"/>
      <c r="J373" s="412"/>
      <c r="K373" s="414"/>
      <c r="L373" s="412"/>
      <c r="M373" s="412"/>
      <c r="N373" s="1091"/>
      <c r="O373" s="1002"/>
      <c r="P373" s="412"/>
      <c r="Q373" s="412"/>
      <c r="R373" s="412"/>
      <c r="S373" s="412"/>
      <c r="T373" s="514"/>
      <c r="U373" s="507"/>
      <c r="V373" s="1005"/>
    </row>
    <row r="374" spans="1:22" s="530" customFormat="1" ht="12.75">
      <c r="A374" s="1006"/>
      <c r="B374" s="1031"/>
      <c r="C374" s="1041"/>
      <c r="D374" s="1008" t="s">
        <v>1974</v>
      </c>
      <c r="E374" s="524"/>
      <c r="F374" s="523"/>
      <c r="G374" s="525"/>
      <c r="H374" s="1059">
        <f>SUM(H369:H373)</f>
        <v>188</v>
      </c>
      <c r="I374" s="1008"/>
      <c r="J374" s="420"/>
      <c r="K374" s="416"/>
      <c r="L374" s="420"/>
      <c r="M374" s="420"/>
      <c r="N374" s="1091"/>
      <c r="O374" s="1008"/>
      <c r="P374" s="420"/>
      <c r="Q374" s="420"/>
      <c r="R374" s="420"/>
      <c r="S374" s="420"/>
      <c r="T374" s="515"/>
      <c r="U374" s="508"/>
      <c r="V374" s="1005"/>
    </row>
    <row r="375" spans="1:22" ht="12.75">
      <c r="A375" s="1002"/>
      <c r="B375" s="546"/>
      <c r="C375" s="1039"/>
      <c r="D375" s="1002" t="s">
        <v>1975</v>
      </c>
      <c r="E375" s="413"/>
      <c r="F375" s="412"/>
      <c r="G375" s="414"/>
      <c r="H375" s="1072"/>
      <c r="I375" s="1002"/>
      <c r="J375" s="412"/>
      <c r="K375" s="414"/>
      <c r="L375" s="412"/>
      <c r="M375" s="412"/>
      <c r="N375" s="1091"/>
      <c r="O375" s="1002"/>
      <c r="P375" s="412"/>
      <c r="Q375" s="412"/>
      <c r="R375" s="412"/>
      <c r="S375" s="412"/>
      <c r="T375" s="514"/>
      <c r="U375" s="507"/>
      <c r="V375" s="1005"/>
    </row>
    <row r="376" spans="1:22" ht="12.75">
      <c r="A376" s="1002"/>
      <c r="B376" s="546"/>
      <c r="C376" s="1039"/>
      <c r="D376" s="1002" t="s">
        <v>1976</v>
      </c>
      <c r="E376" s="413"/>
      <c r="F376" s="412"/>
      <c r="G376" s="414"/>
      <c r="H376" s="1065"/>
      <c r="I376" s="1002"/>
      <c r="J376" s="412"/>
      <c r="K376" s="414"/>
      <c r="L376" s="412"/>
      <c r="M376" s="412"/>
      <c r="N376" s="1091"/>
      <c r="O376" s="1002"/>
      <c r="P376" s="412"/>
      <c r="Q376" s="412"/>
      <c r="R376" s="412"/>
      <c r="S376" s="412"/>
      <c r="T376" s="514"/>
      <c r="U376" s="507"/>
      <c r="V376" s="1005"/>
    </row>
    <row r="377" spans="1:22" ht="12.75">
      <c r="A377" s="1002"/>
      <c r="B377" s="546"/>
      <c r="C377" s="1039"/>
      <c r="D377" s="1002" t="s">
        <v>1977</v>
      </c>
      <c r="E377" s="413"/>
      <c r="F377" s="412"/>
      <c r="G377" s="414"/>
      <c r="H377" s="1065"/>
      <c r="I377" s="1002"/>
      <c r="J377" s="412"/>
      <c r="K377" s="414"/>
      <c r="L377" s="412"/>
      <c r="M377" s="412"/>
      <c r="N377" s="1091"/>
      <c r="O377" s="1002"/>
      <c r="P377" s="412"/>
      <c r="Q377" s="412"/>
      <c r="R377" s="412"/>
      <c r="S377" s="412"/>
      <c r="T377" s="514"/>
      <c r="U377" s="507"/>
      <c r="V377" s="1005"/>
    </row>
    <row r="378" spans="1:22" ht="12.75">
      <c r="A378" s="1002"/>
      <c r="B378" s="546"/>
      <c r="C378" s="1039"/>
      <c r="D378" s="1002" t="s">
        <v>1978</v>
      </c>
      <c r="E378" s="413"/>
      <c r="F378" s="412"/>
      <c r="G378" s="414"/>
      <c r="H378" s="1065"/>
      <c r="I378" s="1002"/>
      <c r="J378" s="412"/>
      <c r="K378" s="414"/>
      <c r="L378" s="412"/>
      <c r="M378" s="412"/>
      <c r="N378" s="1091"/>
      <c r="O378" s="1002"/>
      <c r="P378" s="412"/>
      <c r="Q378" s="412"/>
      <c r="R378" s="412"/>
      <c r="S378" s="412"/>
      <c r="T378" s="514"/>
      <c r="U378" s="507"/>
      <c r="V378" s="1005"/>
    </row>
    <row r="379" spans="1:22" ht="12.75">
      <c r="A379" s="1002"/>
      <c r="B379" s="546"/>
      <c r="C379" s="1039" t="s">
        <v>24</v>
      </c>
      <c r="D379" s="1002" t="s">
        <v>1969</v>
      </c>
      <c r="E379" s="413" t="s">
        <v>92</v>
      </c>
      <c r="F379" s="412">
        <v>1</v>
      </c>
      <c r="G379" s="414">
        <v>40</v>
      </c>
      <c r="H379" s="1069">
        <v>40</v>
      </c>
      <c r="I379" s="1002"/>
      <c r="J379" s="412"/>
      <c r="K379" s="414"/>
      <c r="L379" s="412"/>
      <c r="M379" s="412"/>
      <c r="N379" s="1091"/>
      <c r="O379" s="1002"/>
      <c r="P379" s="412"/>
      <c r="Q379" s="412"/>
      <c r="R379" s="412"/>
      <c r="S379" s="412"/>
      <c r="T379" s="514"/>
      <c r="U379" s="507"/>
      <c r="V379" s="1005"/>
    </row>
    <row r="380" spans="1:22" ht="12.75">
      <c r="A380" s="1004"/>
      <c r="B380" s="548"/>
      <c r="C380" s="1040"/>
      <c r="D380" s="1004"/>
      <c r="E380" s="521"/>
      <c r="F380" s="520"/>
      <c r="G380" s="522"/>
      <c r="H380" s="1073">
        <f>SUM(H374:H379)</f>
        <v>228</v>
      </c>
      <c r="I380" s="1004"/>
      <c r="J380" s="520"/>
      <c r="K380" s="522"/>
      <c r="L380" s="520"/>
      <c r="M380" s="520"/>
      <c r="N380" s="1058">
        <f>SUM(N369:N379)</f>
        <v>56.27120860042734</v>
      </c>
      <c r="O380" s="1004"/>
      <c r="P380" s="520"/>
      <c r="Q380" s="520"/>
      <c r="R380" s="520"/>
      <c r="S380" s="520"/>
      <c r="T380" s="522">
        <f>SUM(T369:T379)</f>
        <v>0.653061224489796</v>
      </c>
      <c r="U380" s="522">
        <f>SUM(H380:T380)</f>
        <v>284.9242698249172</v>
      </c>
      <c r="V380" s="1005">
        <f>U380*$U$4</f>
        <v>384.17608638115655</v>
      </c>
    </row>
    <row r="381" spans="1:22" ht="12.75">
      <c r="A381" s="1002"/>
      <c r="B381" s="546"/>
      <c r="C381" s="1039"/>
      <c r="D381" s="1002"/>
      <c r="E381" s="413"/>
      <c r="F381" s="412"/>
      <c r="G381" s="414"/>
      <c r="H381" s="1065"/>
      <c r="I381" s="1002"/>
      <c r="J381" s="412"/>
      <c r="K381" s="414"/>
      <c r="L381" s="412"/>
      <c r="M381" s="412"/>
      <c r="N381" s="1091"/>
      <c r="O381" s="1002"/>
      <c r="P381" s="412"/>
      <c r="Q381" s="412"/>
      <c r="R381" s="412"/>
      <c r="S381" s="412"/>
      <c r="T381" s="514"/>
      <c r="U381" s="507"/>
      <c r="V381" s="694"/>
    </row>
    <row r="382" spans="1:22" ht="12.75">
      <c r="A382" s="1002">
        <v>61</v>
      </c>
      <c r="B382" s="546" t="s">
        <v>3239</v>
      </c>
      <c r="C382" s="1039"/>
      <c r="D382" s="1002" t="s">
        <v>779</v>
      </c>
      <c r="E382" s="413" t="s">
        <v>24</v>
      </c>
      <c r="F382" s="412">
        <v>1.05</v>
      </c>
      <c r="G382" s="414">
        <f>'Material price'!D140</f>
        <v>87.05</v>
      </c>
      <c r="H382" s="1057">
        <f>F382*G382</f>
        <v>91.4025</v>
      </c>
      <c r="I382" s="1002" t="s">
        <v>275</v>
      </c>
      <c r="J382" s="412">
        <v>1</v>
      </c>
      <c r="K382" s="414">
        <v>0.1</v>
      </c>
      <c r="L382" s="414">
        <f>'Labour Cost'!F7</f>
        <v>20.81362580128205</v>
      </c>
      <c r="M382" s="412">
        <v>0.75</v>
      </c>
      <c r="N382" s="1090">
        <f>J382*K382*L382/M382</f>
        <v>2.7751501068376068</v>
      </c>
      <c r="O382" s="1002" t="s">
        <v>277</v>
      </c>
      <c r="P382" s="417">
        <v>2</v>
      </c>
      <c r="Q382" s="417">
        <v>1</v>
      </c>
      <c r="R382" s="414">
        <f>R10</f>
        <v>0.32</v>
      </c>
      <c r="S382" s="412">
        <v>0.75</v>
      </c>
      <c r="T382" s="515">
        <f>P382*Q382*R382/S382</f>
        <v>0.8533333333333334</v>
      </c>
      <c r="U382" s="507"/>
      <c r="V382" s="694"/>
    </row>
    <row r="383" spans="1:22" ht="12.75">
      <c r="A383" s="1002"/>
      <c r="B383" s="546" t="s">
        <v>3240</v>
      </c>
      <c r="C383" s="1039" t="s">
        <v>24</v>
      </c>
      <c r="D383" s="1002" t="s">
        <v>1173</v>
      </c>
      <c r="E383" s="413" t="s">
        <v>25</v>
      </c>
      <c r="F383" s="412">
        <v>0.03</v>
      </c>
      <c r="G383" s="414">
        <f>G344</f>
        <v>1735.8392651707413</v>
      </c>
      <c r="H383" s="1057">
        <f>F383*G383</f>
        <v>52.075177955122236</v>
      </c>
      <c r="I383" s="1002" t="s">
        <v>1174</v>
      </c>
      <c r="J383" s="412">
        <v>1</v>
      </c>
      <c r="K383" s="414">
        <v>1</v>
      </c>
      <c r="L383" s="414">
        <f>'Labour Cost'!F8</f>
        <v>31.499999999999996</v>
      </c>
      <c r="M383" s="412">
        <v>0.75</v>
      </c>
      <c r="N383" s="1090">
        <f>J383*K383*L383/M383</f>
        <v>41.99999999999999</v>
      </c>
      <c r="O383" s="1002"/>
      <c r="P383" s="412"/>
      <c r="Q383" s="412"/>
      <c r="R383" s="412"/>
      <c r="S383" s="412"/>
      <c r="T383" s="514"/>
      <c r="U383" s="507"/>
      <c r="V383" s="694"/>
    </row>
    <row r="384" spans="1:22" ht="12.75">
      <c r="A384" s="1002"/>
      <c r="B384" s="546"/>
      <c r="C384" s="1039"/>
      <c r="D384" s="1002" t="s">
        <v>780</v>
      </c>
      <c r="E384" s="421">
        <v>0.05</v>
      </c>
      <c r="F384" s="412"/>
      <c r="G384" s="414"/>
      <c r="H384" s="1059">
        <f>H383*0.05</f>
        <v>2.603758897756112</v>
      </c>
      <c r="I384" s="1002" t="s">
        <v>781</v>
      </c>
      <c r="J384" s="412">
        <v>2</v>
      </c>
      <c r="K384" s="414">
        <v>1</v>
      </c>
      <c r="L384" s="415">
        <f>'Labour Cost'!F21</f>
        <v>8.75</v>
      </c>
      <c r="M384" s="412">
        <v>0.75</v>
      </c>
      <c r="N384" s="1090">
        <f>J384*K384*L384/M384</f>
        <v>23.333333333333332</v>
      </c>
      <c r="O384" s="1002"/>
      <c r="P384" s="412"/>
      <c r="Q384" s="412"/>
      <c r="R384" s="412"/>
      <c r="S384" s="412"/>
      <c r="T384" s="514"/>
      <c r="U384" s="507"/>
      <c r="V384" s="694"/>
    </row>
    <row r="385" spans="1:22" ht="12.75">
      <c r="A385" s="1004"/>
      <c r="B385" s="548"/>
      <c r="C385" s="1040"/>
      <c r="D385" s="1004"/>
      <c r="E385" s="521"/>
      <c r="F385" s="520"/>
      <c r="G385" s="522"/>
      <c r="H385" s="1005">
        <f>SUM(H382:H384)</f>
        <v>146.08143685287834</v>
      </c>
      <c r="I385" s="1004"/>
      <c r="J385" s="520"/>
      <c r="K385" s="522"/>
      <c r="L385" s="520"/>
      <c r="M385" s="520"/>
      <c r="N385" s="1005">
        <f>SUM(N382:N384)</f>
        <v>68.10848344017093</v>
      </c>
      <c r="O385" s="1004"/>
      <c r="P385" s="520"/>
      <c r="Q385" s="520"/>
      <c r="R385" s="520"/>
      <c r="S385" s="520"/>
      <c r="T385" s="522">
        <f>SUM(T382:T384)</f>
        <v>0.8533333333333334</v>
      </c>
      <c r="U385" s="522">
        <f>T385+N385+H385</f>
        <v>215.0432536263826</v>
      </c>
      <c r="V385" s="1005">
        <f>U385*$U$4</f>
        <v>289.9523990414007</v>
      </c>
    </row>
    <row r="386" spans="1:22" ht="12.75">
      <c r="A386" s="1002"/>
      <c r="B386" s="546"/>
      <c r="C386" s="1039"/>
      <c r="D386" s="1002"/>
      <c r="E386" s="413"/>
      <c r="F386" s="412"/>
      <c r="G386" s="414"/>
      <c r="H386" s="1057"/>
      <c r="I386" s="1002"/>
      <c r="J386" s="412"/>
      <c r="K386" s="414"/>
      <c r="L386" s="412"/>
      <c r="M386" s="412"/>
      <c r="N386" s="1091"/>
      <c r="O386" s="1002"/>
      <c r="P386" s="412"/>
      <c r="Q386" s="412"/>
      <c r="R386" s="412"/>
      <c r="S386" s="412"/>
      <c r="T386" s="514"/>
      <c r="U386" s="507"/>
      <c r="V386" s="694"/>
    </row>
    <row r="387" spans="1:22" ht="12.75">
      <c r="A387" s="1002">
        <v>62</v>
      </c>
      <c r="B387" s="546" t="s">
        <v>3241</v>
      </c>
      <c r="C387" s="1039"/>
      <c r="D387" s="1002" t="s">
        <v>2013</v>
      </c>
      <c r="E387" s="413" t="s">
        <v>24</v>
      </c>
      <c r="F387" s="412">
        <v>1.05</v>
      </c>
      <c r="G387" s="414">
        <f>'Material price'!D154</f>
        <v>724.74</v>
      </c>
      <c r="H387" s="1074">
        <f>F387*G387</f>
        <v>760.9770000000001</v>
      </c>
      <c r="I387" s="1002" t="s">
        <v>275</v>
      </c>
      <c r="J387" s="412">
        <v>1</v>
      </c>
      <c r="K387" s="414">
        <v>0.1</v>
      </c>
      <c r="L387" s="414">
        <f>'Labour Cost'!F7</f>
        <v>20.81362580128205</v>
      </c>
      <c r="M387" s="414">
        <v>0.75</v>
      </c>
      <c r="N387" s="1090">
        <f>J387*K387*L387/M387</f>
        <v>2.7751501068376068</v>
      </c>
      <c r="O387" s="1002" t="s">
        <v>277</v>
      </c>
      <c r="P387" s="417">
        <v>2</v>
      </c>
      <c r="Q387" s="417">
        <v>1</v>
      </c>
      <c r="R387" s="414">
        <f>R10</f>
        <v>0.32</v>
      </c>
      <c r="S387" s="414">
        <v>0.75</v>
      </c>
      <c r="T387" s="515">
        <f>P387*R387/S387</f>
        <v>0.8533333333333334</v>
      </c>
      <c r="U387" s="507"/>
      <c r="V387" s="694"/>
    </row>
    <row r="388" spans="1:22" ht="12.75">
      <c r="A388" s="1002"/>
      <c r="B388" s="546" t="s">
        <v>3242</v>
      </c>
      <c r="C388" s="1039"/>
      <c r="D388" s="1002" t="s">
        <v>1173</v>
      </c>
      <c r="E388" s="413" t="s">
        <v>25</v>
      </c>
      <c r="F388" s="412">
        <v>0.03</v>
      </c>
      <c r="G388" s="414">
        <f>G383</f>
        <v>1735.8392651707413</v>
      </c>
      <c r="H388" s="1059">
        <f>F388*G388</f>
        <v>52.075177955122236</v>
      </c>
      <c r="I388" s="1002" t="s">
        <v>1174</v>
      </c>
      <c r="J388" s="412">
        <v>1</v>
      </c>
      <c r="K388" s="414">
        <v>1</v>
      </c>
      <c r="L388" s="414">
        <f>'Labour Cost'!F8</f>
        <v>31.499999999999996</v>
      </c>
      <c r="M388" s="414">
        <v>0.75</v>
      </c>
      <c r="N388" s="1090">
        <f>J388*K388*L388/M388</f>
        <v>41.99999999999999</v>
      </c>
      <c r="O388" s="1002"/>
      <c r="P388" s="412"/>
      <c r="Q388" s="412"/>
      <c r="R388" s="412"/>
      <c r="S388" s="412"/>
      <c r="T388" s="514"/>
      <c r="U388" s="507"/>
      <c r="V388" s="694"/>
    </row>
    <row r="389" spans="1:22" ht="12.75">
      <c r="A389" s="1002"/>
      <c r="B389" s="546" t="s">
        <v>3243</v>
      </c>
      <c r="C389" s="1039" t="s">
        <v>24</v>
      </c>
      <c r="D389" s="1002" t="s">
        <v>1871</v>
      </c>
      <c r="E389" s="421">
        <v>0.05</v>
      </c>
      <c r="F389" s="412"/>
      <c r="G389" s="414"/>
      <c r="H389" s="1059">
        <f>H388*0.05</f>
        <v>2.603758897756112</v>
      </c>
      <c r="I389" s="1002" t="s">
        <v>2424</v>
      </c>
      <c r="J389" s="412">
        <v>2</v>
      </c>
      <c r="K389" s="414">
        <v>1</v>
      </c>
      <c r="L389" s="415">
        <f>'Labour Cost'!F21</f>
        <v>8.75</v>
      </c>
      <c r="M389" s="412">
        <v>0.75</v>
      </c>
      <c r="N389" s="1090">
        <f>J389*K389*L389/M389</f>
        <v>23.333333333333332</v>
      </c>
      <c r="O389" s="1002"/>
      <c r="P389" s="412"/>
      <c r="Q389" s="412"/>
      <c r="R389" s="412"/>
      <c r="S389" s="412"/>
      <c r="T389" s="514"/>
      <c r="U389" s="507"/>
      <c r="V389" s="694"/>
    </row>
    <row r="390" spans="1:22" ht="12.75">
      <c r="A390" s="1004"/>
      <c r="B390" s="548"/>
      <c r="C390" s="1040"/>
      <c r="D390" s="1004"/>
      <c r="E390" s="521"/>
      <c r="F390" s="520"/>
      <c r="G390" s="522"/>
      <c r="H390" s="1005">
        <f>SUM(H387:H389)</f>
        <v>815.6559368528785</v>
      </c>
      <c r="I390" s="1004"/>
      <c r="J390" s="520"/>
      <c r="K390" s="522"/>
      <c r="L390" s="520"/>
      <c r="M390" s="520"/>
      <c r="N390" s="1005">
        <f>SUM(N387:N389)</f>
        <v>68.10848344017093</v>
      </c>
      <c r="O390" s="1004"/>
      <c r="P390" s="520"/>
      <c r="Q390" s="520"/>
      <c r="R390" s="520"/>
      <c r="S390" s="520"/>
      <c r="T390" s="522">
        <f>SUM(T387:T389)</f>
        <v>0.8533333333333334</v>
      </c>
      <c r="U390" s="522">
        <f>SUM(H390:T390)</f>
        <v>884.6177536263829</v>
      </c>
      <c r="V390" s="1005">
        <f>U390*$U$4</f>
        <v>1192.769526935376</v>
      </c>
    </row>
    <row r="391" spans="1:22" ht="12.75">
      <c r="A391" s="1002"/>
      <c r="B391" s="546"/>
      <c r="C391" s="1039"/>
      <c r="D391" s="1002"/>
      <c r="E391" s="413"/>
      <c r="F391" s="412"/>
      <c r="G391" s="414"/>
      <c r="H391" s="1057"/>
      <c r="I391" s="1002"/>
      <c r="J391" s="412"/>
      <c r="K391" s="414"/>
      <c r="L391" s="412"/>
      <c r="M391" s="412"/>
      <c r="N391" s="1091"/>
      <c r="O391" s="1002"/>
      <c r="P391" s="412"/>
      <c r="Q391" s="412"/>
      <c r="R391" s="412"/>
      <c r="S391" s="412"/>
      <c r="T391" s="514"/>
      <c r="U391" s="507"/>
      <c r="V391" s="694"/>
    </row>
    <row r="392" spans="1:22" ht="12.75">
      <c r="A392" s="1002">
        <v>63</v>
      </c>
      <c r="B392" s="546" t="s">
        <v>3244</v>
      </c>
      <c r="C392" s="1039"/>
      <c r="D392" s="1002" t="s">
        <v>2014</v>
      </c>
      <c r="E392" s="413" t="s">
        <v>24</v>
      </c>
      <c r="F392" s="412">
        <v>1.05</v>
      </c>
      <c r="G392" s="414">
        <f>'Material price'!D155</f>
        <v>908.45</v>
      </c>
      <c r="H392" s="1059">
        <f>F392*G392</f>
        <v>953.8725000000001</v>
      </c>
      <c r="I392" s="1002" t="s">
        <v>275</v>
      </c>
      <c r="J392" s="412">
        <v>1</v>
      </c>
      <c r="K392" s="414">
        <v>0.1</v>
      </c>
      <c r="L392" s="414">
        <f>'Labour Cost'!F7</f>
        <v>20.81362580128205</v>
      </c>
      <c r="M392" s="414">
        <v>0.75</v>
      </c>
      <c r="N392" s="1090">
        <f>J392*K392*L392/M392</f>
        <v>2.7751501068376068</v>
      </c>
      <c r="O392" s="1002" t="s">
        <v>277</v>
      </c>
      <c r="P392" s="417">
        <v>2</v>
      </c>
      <c r="Q392" s="417">
        <v>1</v>
      </c>
      <c r="R392" s="414">
        <f>R10</f>
        <v>0.32</v>
      </c>
      <c r="S392" s="414">
        <v>0.75</v>
      </c>
      <c r="T392" s="515">
        <f>SUM(T390:T391)</f>
        <v>0.8533333333333334</v>
      </c>
      <c r="U392" s="507"/>
      <c r="V392" s="694"/>
    </row>
    <row r="393" spans="1:22" ht="12.75">
      <c r="A393" s="1002"/>
      <c r="B393" s="546" t="s">
        <v>3245</v>
      </c>
      <c r="C393" s="1039"/>
      <c r="D393" s="1002" t="s">
        <v>1173</v>
      </c>
      <c r="E393" s="413" t="s">
        <v>25</v>
      </c>
      <c r="F393" s="412">
        <v>0.02</v>
      </c>
      <c r="G393" s="414">
        <f>G388</f>
        <v>1735.8392651707413</v>
      </c>
      <c r="H393" s="1059">
        <f>F393*G393</f>
        <v>34.71678530341483</v>
      </c>
      <c r="I393" s="1002" t="s">
        <v>1174</v>
      </c>
      <c r="J393" s="412">
        <v>1</v>
      </c>
      <c r="K393" s="414">
        <v>1</v>
      </c>
      <c r="L393" s="414">
        <f>'Labour Cost'!F8</f>
        <v>31.499999999999996</v>
      </c>
      <c r="M393" s="414">
        <v>0.75</v>
      </c>
      <c r="N393" s="1090">
        <f>J393*K393*L393/M393</f>
        <v>41.99999999999999</v>
      </c>
      <c r="O393" s="1002"/>
      <c r="P393" s="412"/>
      <c r="Q393" s="412"/>
      <c r="R393" s="412"/>
      <c r="S393" s="412"/>
      <c r="T393" s="514"/>
      <c r="U393" s="507"/>
      <c r="V393" s="694"/>
    </row>
    <row r="394" spans="1:22" ht="12.75">
      <c r="A394" s="1002"/>
      <c r="B394" s="546" t="s">
        <v>3243</v>
      </c>
      <c r="C394" s="1039" t="s">
        <v>24</v>
      </c>
      <c r="D394" s="1002" t="s">
        <v>1871</v>
      </c>
      <c r="E394" s="421">
        <v>0.05</v>
      </c>
      <c r="F394" s="412"/>
      <c r="G394" s="414"/>
      <c r="H394" s="1059">
        <f>H393*0.05</f>
        <v>1.7358392651707417</v>
      </c>
      <c r="I394" s="1002" t="s">
        <v>3250</v>
      </c>
      <c r="J394" s="412">
        <v>2</v>
      </c>
      <c r="K394" s="414">
        <v>1</v>
      </c>
      <c r="L394" s="415">
        <f>'Labour Cost'!F21</f>
        <v>8.75</v>
      </c>
      <c r="M394" s="412">
        <v>0.75</v>
      </c>
      <c r="N394" s="1090">
        <f>J394*K394*L394/M394</f>
        <v>23.333333333333332</v>
      </c>
      <c r="O394" s="1002"/>
      <c r="P394" s="412"/>
      <c r="Q394" s="412"/>
      <c r="R394" s="412"/>
      <c r="S394" s="412"/>
      <c r="T394" s="514"/>
      <c r="U394" s="507"/>
      <c r="V394" s="694"/>
    </row>
    <row r="395" spans="1:22" ht="12.75">
      <c r="A395" s="1004"/>
      <c r="B395" s="548"/>
      <c r="C395" s="1040"/>
      <c r="D395" s="1004"/>
      <c r="E395" s="521"/>
      <c r="F395" s="520"/>
      <c r="G395" s="522"/>
      <c r="H395" s="1005">
        <f>SUM(H392:H394)</f>
        <v>990.3251245685856</v>
      </c>
      <c r="I395" s="1004"/>
      <c r="J395" s="520"/>
      <c r="K395" s="522"/>
      <c r="L395" s="520"/>
      <c r="M395" s="520"/>
      <c r="N395" s="1005">
        <f>SUM(N392:N394)</f>
        <v>68.10848344017093</v>
      </c>
      <c r="O395" s="1004"/>
      <c r="P395" s="520"/>
      <c r="Q395" s="520"/>
      <c r="R395" s="520"/>
      <c r="S395" s="520"/>
      <c r="T395" s="522">
        <f>SUM(T392:T394)</f>
        <v>0.8533333333333334</v>
      </c>
      <c r="U395" s="522">
        <f>SUM(H395:T395)</f>
        <v>1059.2869413420897</v>
      </c>
      <c r="V395" s="1005">
        <f>U395*$U$4</f>
        <v>1428.2837742447762</v>
      </c>
    </row>
    <row r="396" spans="1:22" ht="12.75">
      <c r="A396" s="1002"/>
      <c r="B396" s="546"/>
      <c r="C396" s="1039"/>
      <c r="D396" s="1002"/>
      <c r="E396" s="413"/>
      <c r="F396" s="412"/>
      <c r="G396" s="414"/>
      <c r="H396" s="1057"/>
      <c r="I396" s="1002"/>
      <c r="J396" s="412"/>
      <c r="K396" s="414"/>
      <c r="L396" s="412"/>
      <c r="M396" s="412"/>
      <c r="N396" s="1091"/>
      <c r="O396" s="1002"/>
      <c r="P396" s="412"/>
      <c r="Q396" s="412"/>
      <c r="R396" s="412"/>
      <c r="S396" s="412"/>
      <c r="T396" s="514"/>
      <c r="U396" s="507"/>
      <c r="V396" s="694"/>
    </row>
    <row r="397" spans="1:22" ht="12.75">
      <c r="A397" s="1002">
        <v>64</v>
      </c>
      <c r="B397" s="546" t="s">
        <v>3246</v>
      </c>
      <c r="C397" s="1039"/>
      <c r="D397" s="1002" t="s">
        <v>1173</v>
      </c>
      <c r="E397" s="413" t="s">
        <v>24</v>
      </c>
      <c r="F397" s="414">
        <v>0.048</v>
      </c>
      <c r="G397" s="414">
        <f>G388</f>
        <v>1735.8392651707413</v>
      </c>
      <c r="H397" s="1059">
        <f>F397*G397</f>
        <v>83.32028472819559</v>
      </c>
      <c r="I397" s="1002" t="s">
        <v>275</v>
      </c>
      <c r="J397" s="412">
        <v>1</v>
      </c>
      <c r="K397" s="418">
        <v>0.2</v>
      </c>
      <c r="L397" s="414">
        <f>'Labour Cost'!F7</f>
        <v>20.81362580128205</v>
      </c>
      <c r="M397" s="414">
        <v>2.5</v>
      </c>
      <c r="N397" s="1090">
        <f>J397*K397*L397/M397</f>
        <v>1.6650900641025639</v>
      </c>
      <c r="O397" s="1002" t="s">
        <v>277</v>
      </c>
      <c r="P397" s="412">
        <v>2</v>
      </c>
      <c r="Q397" s="412">
        <v>1</v>
      </c>
      <c r="R397" s="412">
        <f>R10</f>
        <v>0.32</v>
      </c>
      <c r="S397" s="412">
        <v>2.5</v>
      </c>
      <c r="T397" s="515">
        <f>P397*R397/S397</f>
        <v>0.256</v>
      </c>
      <c r="U397" s="507"/>
      <c r="V397" s="694"/>
    </row>
    <row r="398" spans="1:22" ht="12.75">
      <c r="A398" s="1002"/>
      <c r="B398" s="546" t="s">
        <v>3247</v>
      </c>
      <c r="C398" s="1039"/>
      <c r="D398" s="1002" t="s">
        <v>1818</v>
      </c>
      <c r="E398" s="421">
        <v>0.05</v>
      </c>
      <c r="F398" s="414"/>
      <c r="G398" s="414"/>
      <c r="H398" s="1059">
        <f>H397*E398</f>
        <v>4.166014236409779</v>
      </c>
      <c r="I398" s="1002" t="s">
        <v>1857</v>
      </c>
      <c r="J398" s="412">
        <v>1</v>
      </c>
      <c r="K398" s="414">
        <v>1</v>
      </c>
      <c r="L398" s="415">
        <f>'Labour Cost'!F12</f>
        <v>35</v>
      </c>
      <c r="M398" s="414">
        <v>2.5</v>
      </c>
      <c r="N398" s="1090">
        <f>J398*K398*L398/M398</f>
        <v>14</v>
      </c>
      <c r="O398" s="1002"/>
      <c r="P398" s="412"/>
      <c r="Q398" s="412"/>
      <c r="R398" s="412"/>
      <c r="S398" s="412"/>
      <c r="T398" s="514"/>
      <c r="U398" s="507"/>
      <c r="V398" s="694"/>
    </row>
    <row r="399" spans="1:22" ht="12.75">
      <c r="A399" s="1002"/>
      <c r="B399" s="546" t="s">
        <v>782</v>
      </c>
      <c r="C399" s="1039" t="s">
        <v>24</v>
      </c>
      <c r="D399" s="1002"/>
      <c r="E399" s="413"/>
      <c r="F399" s="412"/>
      <c r="G399" s="414"/>
      <c r="H399" s="1059"/>
      <c r="I399" s="1002" t="s">
        <v>2012</v>
      </c>
      <c r="J399" s="412">
        <v>2</v>
      </c>
      <c r="K399" s="414">
        <v>1</v>
      </c>
      <c r="L399" s="415">
        <f>'Labour Cost'!F21</f>
        <v>8.75</v>
      </c>
      <c r="M399" s="414">
        <v>2.5</v>
      </c>
      <c r="N399" s="1090">
        <f>J399*K399*L399/M399</f>
        <v>7</v>
      </c>
      <c r="O399" s="1002"/>
      <c r="P399" s="412"/>
      <c r="Q399" s="412"/>
      <c r="R399" s="412"/>
      <c r="S399" s="412"/>
      <c r="T399" s="515"/>
      <c r="U399" s="508"/>
      <c r="V399" s="694"/>
    </row>
    <row r="400" spans="1:22" ht="12.75">
      <c r="A400" s="1004"/>
      <c r="B400" s="548"/>
      <c r="C400" s="1040"/>
      <c r="D400" s="1004"/>
      <c r="E400" s="521"/>
      <c r="F400" s="520"/>
      <c r="G400" s="522"/>
      <c r="H400" s="1005">
        <f>SUM(H397:H399)</f>
        <v>87.48629896460537</v>
      </c>
      <c r="I400" s="1004"/>
      <c r="J400" s="520"/>
      <c r="K400" s="522"/>
      <c r="L400" s="520"/>
      <c r="M400" s="520"/>
      <c r="N400" s="1005">
        <f>SUM(N397:N399)</f>
        <v>22.665090064102564</v>
      </c>
      <c r="O400" s="1004"/>
      <c r="P400" s="520"/>
      <c r="Q400" s="520"/>
      <c r="R400" s="520"/>
      <c r="S400" s="520"/>
      <c r="T400" s="522">
        <f>SUM(T397:T399)</f>
        <v>0.256</v>
      </c>
      <c r="U400" s="522">
        <f>T400+N400+H400</f>
        <v>110.40738902870794</v>
      </c>
      <c r="V400" s="1005">
        <f>U400*$U$4</f>
        <v>148.86720127658813</v>
      </c>
    </row>
    <row r="401" spans="1:22" ht="12.75">
      <c r="A401" s="1002"/>
      <c r="B401" s="546"/>
      <c r="C401" s="1039"/>
      <c r="D401" s="1002"/>
      <c r="E401" s="413"/>
      <c r="F401" s="412"/>
      <c r="G401" s="414"/>
      <c r="H401" s="1059"/>
      <c r="I401" s="1002"/>
      <c r="J401" s="412"/>
      <c r="K401" s="414"/>
      <c r="L401" s="412"/>
      <c r="M401" s="412"/>
      <c r="N401" s="1090"/>
      <c r="O401" s="1002"/>
      <c r="P401" s="412"/>
      <c r="Q401" s="412"/>
      <c r="R401" s="412"/>
      <c r="S401" s="412"/>
      <c r="T401" s="515"/>
      <c r="U401" s="508"/>
      <c r="V401" s="1005"/>
    </row>
    <row r="402" spans="1:22" ht="12.75">
      <c r="A402" s="1008">
        <v>65</v>
      </c>
      <c r="B402" s="549" t="s">
        <v>1713</v>
      </c>
      <c r="C402" s="1047"/>
      <c r="D402" s="1008" t="s">
        <v>3248</v>
      </c>
      <c r="E402" s="413" t="s">
        <v>24</v>
      </c>
      <c r="F402" s="420">
        <v>1.05</v>
      </c>
      <c r="G402" s="416">
        <v>87</v>
      </c>
      <c r="H402" s="1059">
        <f>F402*G402</f>
        <v>91.35000000000001</v>
      </c>
      <c r="I402" s="1008" t="s">
        <v>1983</v>
      </c>
      <c r="J402" s="420">
        <v>1</v>
      </c>
      <c r="K402" s="416">
        <v>1</v>
      </c>
      <c r="L402" s="420">
        <v>4.38</v>
      </c>
      <c r="M402" s="416">
        <v>1.5</v>
      </c>
      <c r="N402" s="1090">
        <f>J402*K402*L402/M402</f>
        <v>2.92</v>
      </c>
      <c r="O402" s="1008" t="s">
        <v>277</v>
      </c>
      <c r="P402" s="420">
        <v>10</v>
      </c>
      <c r="Q402" s="420">
        <v>1</v>
      </c>
      <c r="R402" s="420">
        <f>R10</f>
        <v>0.32</v>
      </c>
      <c r="S402" s="416">
        <v>1.5</v>
      </c>
      <c r="T402" s="515">
        <f>P402*R402/S402</f>
        <v>2.1333333333333333</v>
      </c>
      <c r="U402" s="508"/>
      <c r="V402" s="1005"/>
    </row>
    <row r="403" spans="1:22" ht="12.75">
      <c r="A403" s="1008"/>
      <c r="B403" s="549" t="s">
        <v>1714</v>
      </c>
      <c r="C403" s="1047"/>
      <c r="D403" s="1008" t="s">
        <v>3252</v>
      </c>
      <c r="E403" s="413" t="s">
        <v>25</v>
      </c>
      <c r="F403" s="420">
        <v>0.01</v>
      </c>
      <c r="G403" s="416">
        <f>'Material price'!D13</f>
        <v>93.75</v>
      </c>
      <c r="H403" s="1059">
        <f>F403*G403</f>
        <v>0.9375</v>
      </c>
      <c r="I403" s="1008" t="s">
        <v>3249</v>
      </c>
      <c r="J403" s="420">
        <v>10</v>
      </c>
      <c r="K403" s="416">
        <v>1</v>
      </c>
      <c r="L403" s="420">
        <v>1</v>
      </c>
      <c r="M403" s="416">
        <v>1.5</v>
      </c>
      <c r="N403" s="1090">
        <f>J403*K403*L403/M403</f>
        <v>6.666666666666667</v>
      </c>
      <c r="O403" s="1008"/>
      <c r="P403" s="420"/>
      <c r="Q403" s="420"/>
      <c r="R403" s="420"/>
      <c r="S403" s="420"/>
      <c r="T403" s="514"/>
      <c r="U403" s="508"/>
      <c r="V403" s="1005"/>
    </row>
    <row r="404" spans="1:22" ht="12.75">
      <c r="A404" s="1008"/>
      <c r="B404" s="549" t="s">
        <v>1715</v>
      </c>
      <c r="C404" s="1039" t="s">
        <v>24</v>
      </c>
      <c r="D404" s="1008" t="s">
        <v>3251</v>
      </c>
      <c r="E404" s="413" t="s">
        <v>25</v>
      </c>
      <c r="F404" s="420">
        <v>0.01</v>
      </c>
      <c r="G404" s="416">
        <f>G397</f>
        <v>1735.8392651707413</v>
      </c>
      <c r="H404" s="1059">
        <f>F404*G404</f>
        <v>17.358392651707415</v>
      </c>
      <c r="I404" s="1008" t="s">
        <v>1288</v>
      </c>
      <c r="J404" s="420">
        <v>1</v>
      </c>
      <c r="K404" s="416">
        <v>0.25</v>
      </c>
      <c r="L404" s="420">
        <v>5.25</v>
      </c>
      <c r="M404" s="416">
        <v>1.5</v>
      </c>
      <c r="N404" s="1090">
        <f>J404*K404*L404/M404</f>
        <v>0.875</v>
      </c>
      <c r="O404" s="1008"/>
      <c r="P404" s="420"/>
      <c r="Q404" s="420"/>
      <c r="R404" s="420"/>
      <c r="S404" s="420"/>
      <c r="T404" s="515"/>
      <c r="U404" s="508"/>
      <c r="V404" s="1005"/>
    </row>
    <row r="405" spans="1:22" ht="12.75">
      <c r="A405" s="1008"/>
      <c r="B405" s="549"/>
      <c r="C405" s="1047"/>
      <c r="D405" s="1008"/>
      <c r="E405" s="413"/>
      <c r="F405" s="420"/>
      <c r="G405" s="416"/>
      <c r="H405" s="1059"/>
      <c r="I405" s="1008"/>
      <c r="J405" s="420"/>
      <c r="K405" s="416"/>
      <c r="L405" s="420"/>
      <c r="M405" s="420"/>
      <c r="N405" s="1090"/>
      <c r="O405" s="1008"/>
      <c r="P405" s="420"/>
      <c r="Q405" s="420"/>
      <c r="R405" s="420"/>
      <c r="S405" s="420"/>
      <c r="T405" s="514"/>
      <c r="U405" s="508"/>
      <c r="V405" s="1005"/>
    </row>
    <row r="406" spans="1:22" ht="12.75">
      <c r="A406" s="1008"/>
      <c r="B406" s="549"/>
      <c r="C406" s="1047"/>
      <c r="D406" s="1008"/>
      <c r="E406" s="453"/>
      <c r="F406" s="420"/>
      <c r="G406" s="416"/>
      <c r="H406" s="1059"/>
      <c r="I406" s="1008"/>
      <c r="J406" s="420"/>
      <c r="K406" s="416"/>
      <c r="L406" s="420"/>
      <c r="M406" s="420"/>
      <c r="N406" s="1090"/>
      <c r="O406" s="1008"/>
      <c r="P406" s="420"/>
      <c r="Q406" s="420"/>
      <c r="R406" s="420"/>
      <c r="S406" s="420"/>
      <c r="T406" s="514"/>
      <c r="U406" s="508"/>
      <c r="V406" s="1005"/>
    </row>
    <row r="407" spans="1:22" ht="12.75">
      <c r="A407" s="1004"/>
      <c r="B407" s="548"/>
      <c r="C407" s="1040"/>
      <c r="D407" s="1004"/>
      <c r="E407" s="521"/>
      <c r="F407" s="520"/>
      <c r="G407" s="522"/>
      <c r="H407" s="1005">
        <f>SUM(H402:H406)</f>
        <v>109.64589265170743</v>
      </c>
      <c r="I407" s="1004"/>
      <c r="J407" s="520"/>
      <c r="K407" s="522"/>
      <c r="L407" s="520"/>
      <c r="M407" s="520"/>
      <c r="N407" s="1005">
        <f>SUM(N402:N406)</f>
        <v>10.461666666666666</v>
      </c>
      <c r="O407" s="1004"/>
      <c r="P407" s="520"/>
      <c r="Q407" s="520"/>
      <c r="R407" s="520"/>
      <c r="S407" s="520"/>
      <c r="T407" s="522">
        <f>SUM(T402:T406)</f>
        <v>2.1333333333333333</v>
      </c>
      <c r="U407" s="522">
        <f>H407+N407+T407</f>
        <v>122.24089265170743</v>
      </c>
      <c r="V407" s="1005">
        <f>U407*$U$4</f>
        <v>164.82284139406477</v>
      </c>
    </row>
    <row r="408" spans="1:22" ht="12.75">
      <c r="A408" s="1002"/>
      <c r="B408" s="546"/>
      <c r="C408" s="1039"/>
      <c r="D408" s="1002"/>
      <c r="E408" s="413"/>
      <c r="F408" s="412"/>
      <c r="G408" s="414"/>
      <c r="H408" s="1057"/>
      <c r="I408" s="1002"/>
      <c r="J408" s="412"/>
      <c r="K408" s="414"/>
      <c r="L408" s="412"/>
      <c r="M408" s="412"/>
      <c r="N408" s="1091"/>
      <c r="O408" s="1002"/>
      <c r="P408" s="412"/>
      <c r="Q408" s="412"/>
      <c r="R408" s="412"/>
      <c r="S408" s="412"/>
      <c r="T408" s="514"/>
      <c r="U408" s="507"/>
      <c r="V408" s="694"/>
    </row>
    <row r="409" spans="1:22" ht="12.75">
      <c r="A409" s="1002">
        <v>66</v>
      </c>
      <c r="B409" s="546" t="s">
        <v>784</v>
      </c>
      <c r="C409" s="1039" t="s">
        <v>24</v>
      </c>
      <c r="D409" s="1002" t="s">
        <v>2367</v>
      </c>
      <c r="E409" s="413" t="s">
        <v>24</v>
      </c>
      <c r="F409" s="412">
        <v>1.05</v>
      </c>
      <c r="G409" s="414">
        <f>'Material price'!D142</f>
        <v>74.82</v>
      </c>
      <c r="H409" s="1059">
        <f>F409*G409</f>
        <v>78.56099999999999</v>
      </c>
      <c r="I409" s="1002" t="s">
        <v>275</v>
      </c>
      <c r="J409" s="412">
        <v>1</v>
      </c>
      <c r="K409" s="418">
        <v>0.2</v>
      </c>
      <c r="L409" s="499">
        <f>'Labour Cost'!F7</f>
        <v>20.81362580128205</v>
      </c>
      <c r="M409" s="414">
        <v>1.5</v>
      </c>
      <c r="N409" s="1090">
        <f>J409*K409*L409/M409</f>
        <v>2.7751501068376068</v>
      </c>
      <c r="O409" s="1002" t="s">
        <v>277</v>
      </c>
      <c r="P409" s="412">
        <v>2</v>
      </c>
      <c r="Q409" s="412">
        <v>1</v>
      </c>
      <c r="R409" s="412">
        <f>R10</f>
        <v>0.32</v>
      </c>
      <c r="S409" s="414">
        <v>1.5</v>
      </c>
      <c r="T409" s="515">
        <f>P409*R409/S409</f>
        <v>0.4266666666666667</v>
      </c>
      <c r="U409" s="507"/>
      <c r="V409" s="694"/>
    </row>
    <row r="410" spans="1:22" ht="12.75">
      <c r="A410" s="1002"/>
      <c r="B410" s="546"/>
      <c r="C410" s="1039"/>
      <c r="D410" s="1002" t="s">
        <v>785</v>
      </c>
      <c r="E410" s="413" t="s">
        <v>783</v>
      </c>
      <c r="F410" s="414">
        <v>0.25</v>
      </c>
      <c r="G410" s="414">
        <v>40</v>
      </c>
      <c r="H410" s="1059">
        <f>F410*G410</f>
        <v>10</v>
      </c>
      <c r="I410" s="1002" t="s">
        <v>786</v>
      </c>
      <c r="J410" s="412">
        <v>1</v>
      </c>
      <c r="K410" s="414">
        <v>1</v>
      </c>
      <c r="L410" s="496">
        <f>'Labour Cost'!F13</f>
        <v>35</v>
      </c>
      <c r="M410" s="414">
        <v>1.5</v>
      </c>
      <c r="N410" s="1090">
        <f>J410*K410*L410/M410</f>
        <v>23.333333333333332</v>
      </c>
      <c r="O410" s="1002"/>
      <c r="P410" s="412"/>
      <c r="Q410" s="412"/>
      <c r="R410" s="412"/>
      <c r="S410" s="412"/>
      <c r="T410" s="514"/>
      <c r="U410" s="507"/>
      <c r="V410" s="694"/>
    </row>
    <row r="411" spans="1:22" ht="12.75">
      <c r="A411" s="1002"/>
      <c r="B411" s="546"/>
      <c r="C411" s="1039"/>
      <c r="D411" s="1002"/>
      <c r="E411" s="413"/>
      <c r="F411" s="412"/>
      <c r="G411" s="414"/>
      <c r="H411" s="1059"/>
      <c r="I411" s="1002" t="s">
        <v>1379</v>
      </c>
      <c r="J411" s="412">
        <v>2</v>
      </c>
      <c r="K411" s="414">
        <v>1</v>
      </c>
      <c r="L411" s="496">
        <f>'Labour Cost'!F21</f>
        <v>8.75</v>
      </c>
      <c r="M411" s="414">
        <v>1.5</v>
      </c>
      <c r="N411" s="1090">
        <f>J411*K411*L411/M411</f>
        <v>11.666666666666666</v>
      </c>
      <c r="O411" s="1002"/>
      <c r="P411" s="412"/>
      <c r="Q411" s="412"/>
      <c r="R411" s="412"/>
      <c r="S411" s="412"/>
      <c r="T411" s="515"/>
      <c r="U411" s="508"/>
      <c r="V411" s="694"/>
    </row>
    <row r="412" spans="1:22" ht="12.75">
      <c r="A412" s="1004"/>
      <c r="B412" s="548"/>
      <c r="C412" s="1040"/>
      <c r="D412" s="1004"/>
      <c r="E412" s="521"/>
      <c r="F412" s="520"/>
      <c r="G412" s="522"/>
      <c r="H412" s="1005">
        <f>SUM(H409:H411)</f>
        <v>88.56099999999999</v>
      </c>
      <c r="I412" s="1004"/>
      <c r="J412" s="520"/>
      <c r="K412" s="522"/>
      <c r="L412" s="520"/>
      <c r="M412" s="520"/>
      <c r="N412" s="1005">
        <f>SUM(N409:N411)</f>
        <v>37.77515010683761</v>
      </c>
      <c r="O412" s="1004"/>
      <c r="P412" s="520"/>
      <c r="Q412" s="520"/>
      <c r="R412" s="520"/>
      <c r="S412" s="520"/>
      <c r="T412" s="522">
        <f>SUM(T409:T411)</f>
        <v>0.4266666666666667</v>
      </c>
      <c r="U412" s="522">
        <f>T412+N412+H412</f>
        <v>126.76281677350427</v>
      </c>
      <c r="V412" s="1005">
        <f>U412*$U$4</f>
        <v>170.91995313920307</v>
      </c>
    </row>
    <row r="413" spans="1:22" s="438" customFormat="1" ht="12.75">
      <c r="A413" s="1008"/>
      <c r="B413" s="549"/>
      <c r="C413" s="1047"/>
      <c r="D413" s="1008"/>
      <c r="E413" s="453"/>
      <c r="F413" s="420"/>
      <c r="G413" s="416"/>
      <c r="H413" s="1059"/>
      <c r="I413" s="1008"/>
      <c r="J413" s="420"/>
      <c r="K413" s="416"/>
      <c r="L413" s="420"/>
      <c r="M413" s="420"/>
      <c r="N413" s="1090"/>
      <c r="O413" s="1008"/>
      <c r="P413" s="420"/>
      <c r="Q413" s="420"/>
      <c r="R413" s="420"/>
      <c r="S413" s="420"/>
      <c r="T413" s="514"/>
      <c r="U413" s="508"/>
      <c r="V413" s="694"/>
    </row>
    <row r="414" spans="1:22" ht="12.75">
      <c r="A414" s="1002">
        <v>67</v>
      </c>
      <c r="B414" s="546" t="s">
        <v>3253</v>
      </c>
      <c r="C414" s="1049"/>
      <c r="D414" s="1002" t="s">
        <v>1151</v>
      </c>
      <c r="E414" s="413" t="s">
        <v>1869</v>
      </c>
      <c r="F414" s="414">
        <v>9</v>
      </c>
      <c r="G414" s="414">
        <f>G69</f>
        <v>255.3913043478261</v>
      </c>
      <c r="H414" s="1059">
        <f>F414*G414</f>
        <v>2298.521739130435</v>
      </c>
      <c r="I414" s="1002" t="s">
        <v>1166</v>
      </c>
      <c r="J414" s="412">
        <v>1</v>
      </c>
      <c r="K414" s="414">
        <v>1</v>
      </c>
      <c r="L414" s="415">
        <f>'Labour Cost'!F9</f>
        <v>26.25</v>
      </c>
      <c r="M414" s="412">
        <v>0.9</v>
      </c>
      <c r="N414" s="1090">
        <f>J414*K414*L414/M414</f>
        <v>29.166666666666664</v>
      </c>
      <c r="O414" s="1002" t="s">
        <v>277</v>
      </c>
      <c r="P414" s="412">
        <v>10</v>
      </c>
      <c r="Q414" s="412">
        <v>1</v>
      </c>
      <c r="R414" s="412">
        <f>R10</f>
        <v>0.32</v>
      </c>
      <c r="S414" s="414">
        <v>0.9</v>
      </c>
      <c r="T414" s="515">
        <f>P414*Q414*R414/S414</f>
        <v>3.555555555555556</v>
      </c>
      <c r="U414" s="507"/>
      <c r="V414" s="694"/>
    </row>
    <row r="415" spans="1:22" ht="12.75">
      <c r="A415" s="1002"/>
      <c r="B415" s="546" t="s">
        <v>1966</v>
      </c>
      <c r="C415" s="1049"/>
      <c r="D415" s="1002" t="s">
        <v>622</v>
      </c>
      <c r="E415" s="413" t="s">
        <v>25</v>
      </c>
      <c r="F415" s="412">
        <v>0.72</v>
      </c>
      <c r="G415" s="414">
        <f>'Material price'!D8</f>
        <v>312.5</v>
      </c>
      <c r="H415" s="1059">
        <f>F415*G415</f>
        <v>225</v>
      </c>
      <c r="I415" s="1002" t="s">
        <v>1168</v>
      </c>
      <c r="J415" s="412">
        <v>10</v>
      </c>
      <c r="K415" s="414">
        <v>1</v>
      </c>
      <c r="L415" s="415">
        <f>'Labour Cost'!F21</f>
        <v>8.75</v>
      </c>
      <c r="M415" s="412">
        <v>0.9</v>
      </c>
      <c r="N415" s="1090">
        <f>J415*K415*L415/M415</f>
        <v>97.22222222222221</v>
      </c>
      <c r="O415" s="1002" t="s">
        <v>614</v>
      </c>
      <c r="P415" s="412">
        <v>1</v>
      </c>
      <c r="Q415" s="412">
        <v>1</v>
      </c>
      <c r="R415" s="414">
        <f>'Equip. Rental Rate'!AB52</f>
        <v>54.62462218906289</v>
      </c>
      <c r="S415" s="414">
        <v>0.9</v>
      </c>
      <c r="T415" s="515">
        <f>P415*Q415*R415/S415</f>
        <v>60.69402465451432</v>
      </c>
      <c r="U415" s="507"/>
      <c r="V415" s="694"/>
    </row>
    <row r="416" spans="1:22" ht="12.75">
      <c r="A416" s="1002"/>
      <c r="B416" s="546" t="s">
        <v>2015</v>
      </c>
      <c r="C416" s="1039" t="s">
        <v>25</v>
      </c>
      <c r="D416" s="1002" t="s">
        <v>3254</v>
      </c>
      <c r="E416" s="421">
        <v>0.05</v>
      </c>
      <c r="F416" s="412"/>
      <c r="G416" s="412"/>
      <c r="H416" s="1057">
        <f>H414*0.05</f>
        <v>114.92608695652176</v>
      </c>
      <c r="I416" s="1002" t="s">
        <v>1170</v>
      </c>
      <c r="J416" s="412">
        <v>1</v>
      </c>
      <c r="K416" s="414">
        <v>1</v>
      </c>
      <c r="L416" s="415">
        <f>'Labour Cost'!F24</f>
        <v>15.399999999999999</v>
      </c>
      <c r="M416" s="412">
        <v>0.9</v>
      </c>
      <c r="N416" s="1090">
        <f>J416*K416*L416/M416</f>
        <v>17.11111111111111</v>
      </c>
      <c r="O416" s="1002"/>
      <c r="P416" s="412"/>
      <c r="Q416" s="412"/>
      <c r="R416" s="412"/>
      <c r="S416" s="412"/>
      <c r="T416" s="514"/>
      <c r="U416" s="507"/>
      <c r="V416" s="694"/>
    </row>
    <row r="417" spans="1:22" ht="12.75">
      <c r="A417" s="1002"/>
      <c r="B417" s="546"/>
      <c r="C417" s="1039"/>
      <c r="D417" s="1002" t="s">
        <v>3255</v>
      </c>
      <c r="E417" s="421">
        <v>0.01</v>
      </c>
      <c r="F417" s="412"/>
      <c r="G417" s="412"/>
      <c r="H417" s="1059">
        <f>H415*0.01</f>
        <v>2.25</v>
      </c>
      <c r="I417" s="1002" t="s">
        <v>275</v>
      </c>
      <c r="J417" s="412">
        <v>1</v>
      </c>
      <c r="K417" s="414">
        <v>0.2</v>
      </c>
      <c r="L417" s="415">
        <f>'Labour Cost'!F7</f>
        <v>20.81362580128205</v>
      </c>
      <c r="M417" s="412">
        <v>0.9</v>
      </c>
      <c r="N417" s="1090">
        <f>J417*K417*L417/M417</f>
        <v>4.625250178062678</v>
      </c>
      <c r="O417" s="1002"/>
      <c r="P417" s="412"/>
      <c r="Q417" s="412"/>
      <c r="R417" s="412"/>
      <c r="S417" s="412"/>
      <c r="T417" s="514"/>
      <c r="U417" s="507"/>
      <c r="V417" s="694"/>
    </row>
    <row r="418" spans="1:22" ht="12.75">
      <c r="A418" s="1002"/>
      <c r="B418" s="546"/>
      <c r="C418" s="1039"/>
      <c r="D418" s="1002"/>
      <c r="E418" s="421"/>
      <c r="F418" s="412"/>
      <c r="G418" s="412"/>
      <c r="H418" s="1059"/>
      <c r="I418" s="1002"/>
      <c r="J418" s="412"/>
      <c r="K418" s="414"/>
      <c r="L418" s="412"/>
      <c r="M418" s="412"/>
      <c r="N418" s="1090"/>
      <c r="O418" s="1002"/>
      <c r="P418" s="412"/>
      <c r="Q418" s="412"/>
      <c r="R418" s="412"/>
      <c r="S418" s="412"/>
      <c r="T418" s="515"/>
      <c r="U418" s="507"/>
      <c r="V418" s="694"/>
    </row>
    <row r="419" spans="1:22" ht="12.75">
      <c r="A419" s="1004"/>
      <c r="B419" s="548"/>
      <c r="C419" s="1040"/>
      <c r="D419" s="1004"/>
      <c r="E419" s="1028"/>
      <c r="F419" s="520"/>
      <c r="G419" s="520"/>
      <c r="H419" s="1005">
        <f>SUM(H414:H418)</f>
        <v>2640.697826086957</v>
      </c>
      <c r="I419" s="1004"/>
      <c r="J419" s="520"/>
      <c r="K419" s="522"/>
      <c r="L419" s="520"/>
      <c r="M419" s="520"/>
      <c r="N419" s="1005">
        <f>SUM(N414:N418)</f>
        <v>148.1252501780627</v>
      </c>
      <c r="O419" s="1004"/>
      <c r="P419" s="520"/>
      <c r="Q419" s="520"/>
      <c r="R419" s="520"/>
      <c r="S419" s="520"/>
      <c r="T419" s="522">
        <f>SUM(T414:T418)</f>
        <v>64.24958021006988</v>
      </c>
      <c r="U419" s="522">
        <f>H419+N419+T419</f>
        <v>2853.0726564750894</v>
      </c>
      <c r="V419" s="1007"/>
    </row>
    <row r="420" spans="1:22" ht="12.75">
      <c r="A420" s="1002"/>
      <c r="B420" s="546"/>
      <c r="C420" s="1039"/>
      <c r="D420" s="1002"/>
      <c r="E420" s="421"/>
      <c r="F420" s="412"/>
      <c r="G420" s="412"/>
      <c r="H420" s="1059"/>
      <c r="I420" s="1002"/>
      <c r="J420" s="412"/>
      <c r="K420" s="414"/>
      <c r="L420" s="412"/>
      <c r="M420" s="412"/>
      <c r="N420" s="1091"/>
      <c r="O420" s="1002"/>
      <c r="P420" s="412"/>
      <c r="Q420" s="412"/>
      <c r="R420" s="412"/>
      <c r="S420" s="412"/>
      <c r="T420" s="514"/>
      <c r="U420" s="507"/>
      <c r="V420" s="694"/>
    </row>
    <row r="421" spans="1:22" ht="12.75">
      <c r="A421" s="1002">
        <v>68</v>
      </c>
      <c r="B421" s="546" t="s">
        <v>269</v>
      </c>
      <c r="C421" s="1039" t="s">
        <v>24</v>
      </c>
      <c r="D421" s="1002" t="s">
        <v>787</v>
      </c>
      <c r="E421" s="413" t="s">
        <v>24</v>
      </c>
      <c r="F421" s="412">
        <v>1.05</v>
      </c>
      <c r="G421" s="414">
        <f>'Material price'!D116+(2)</f>
        <v>97.5</v>
      </c>
      <c r="H421" s="1057">
        <f>F421*G421</f>
        <v>102.375</v>
      </c>
      <c r="I421" s="1002" t="s">
        <v>786</v>
      </c>
      <c r="J421" s="412">
        <v>1</v>
      </c>
      <c r="K421" s="414">
        <v>1</v>
      </c>
      <c r="L421" s="415">
        <f>'Labour Cost'!F13</f>
        <v>35</v>
      </c>
      <c r="M421" s="412">
        <v>0.5</v>
      </c>
      <c r="N421" s="1090">
        <f>J421*K421*L421/M421</f>
        <v>70</v>
      </c>
      <c r="O421" s="1002" t="s">
        <v>277</v>
      </c>
      <c r="P421" s="412">
        <v>2</v>
      </c>
      <c r="Q421" s="412">
        <v>1</v>
      </c>
      <c r="R421" s="412">
        <f>R10</f>
        <v>0.32</v>
      </c>
      <c r="S421" s="412">
        <v>0.5</v>
      </c>
      <c r="T421" s="515">
        <f>P421*Q421*R421/S421</f>
        <v>1.28</v>
      </c>
      <c r="U421" s="507"/>
      <c r="V421" s="694"/>
    </row>
    <row r="422" spans="1:22" ht="12.75">
      <c r="A422" s="1002"/>
      <c r="B422" s="546"/>
      <c r="C422" s="1039"/>
      <c r="D422" s="1002" t="s">
        <v>1173</v>
      </c>
      <c r="E422" s="413" t="s">
        <v>25</v>
      </c>
      <c r="F422" s="412">
        <v>0.01</v>
      </c>
      <c r="G422" s="414">
        <f>U419</f>
        <v>2853.0726564750894</v>
      </c>
      <c r="H422" s="1057">
        <f>F422*G422</f>
        <v>28.530726564750893</v>
      </c>
      <c r="I422" s="1002" t="s">
        <v>1379</v>
      </c>
      <c r="J422" s="412">
        <v>2</v>
      </c>
      <c r="K422" s="414">
        <v>1</v>
      </c>
      <c r="L422" s="415">
        <f>'Labour Cost'!F21</f>
        <v>8.75</v>
      </c>
      <c r="M422" s="412">
        <v>0.5</v>
      </c>
      <c r="N422" s="1090">
        <f>J422*K422*L422/M422</f>
        <v>35</v>
      </c>
      <c r="O422" s="1002"/>
      <c r="P422" s="412"/>
      <c r="Q422" s="412"/>
      <c r="R422" s="412"/>
      <c r="S422" s="412"/>
      <c r="T422" s="514"/>
      <c r="U422" s="507"/>
      <c r="V422" s="694"/>
    </row>
    <row r="423" spans="1:22" ht="12.75">
      <c r="A423" s="1002"/>
      <c r="B423" s="546"/>
      <c r="C423" s="1039"/>
      <c r="D423" s="1002" t="s">
        <v>3256</v>
      </c>
      <c r="E423" s="421">
        <v>0.05</v>
      </c>
      <c r="F423" s="412"/>
      <c r="G423" s="414"/>
      <c r="H423" s="1059">
        <f>H422*0.05</f>
        <v>1.4265363282375447</v>
      </c>
      <c r="I423" s="1002" t="s">
        <v>275</v>
      </c>
      <c r="J423" s="412">
        <v>1</v>
      </c>
      <c r="K423" s="414">
        <v>0.2</v>
      </c>
      <c r="L423" s="414">
        <f>'Labour Cost'!F7</f>
        <v>20.81362580128205</v>
      </c>
      <c r="M423" s="418">
        <v>0.5</v>
      </c>
      <c r="N423" s="1090">
        <f>J423*K423*L423/M423</f>
        <v>8.32545032051282</v>
      </c>
      <c r="O423" s="1002"/>
      <c r="P423" s="412"/>
      <c r="Q423" s="412"/>
      <c r="R423" s="412"/>
      <c r="S423" s="412"/>
      <c r="T423" s="514"/>
      <c r="U423" s="507"/>
      <c r="V423" s="694"/>
    </row>
    <row r="424" spans="1:22" ht="12.75">
      <c r="A424" s="1004"/>
      <c r="B424" s="548"/>
      <c r="C424" s="1040"/>
      <c r="D424" s="1004"/>
      <c r="E424" s="521"/>
      <c r="F424" s="520"/>
      <c r="G424" s="522"/>
      <c r="H424" s="1005">
        <f>SUM(H421:H423)</f>
        <v>132.33226289298844</v>
      </c>
      <c r="I424" s="1004"/>
      <c r="J424" s="520"/>
      <c r="K424" s="522"/>
      <c r="L424" s="520"/>
      <c r="M424" s="520"/>
      <c r="N424" s="1005">
        <f>SUM(N421:N423)</f>
        <v>113.32545032051281</v>
      </c>
      <c r="O424" s="1004"/>
      <c r="P424" s="520"/>
      <c r="Q424" s="520"/>
      <c r="R424" s="520"/>
      <c r="S424" s="520"/>
      <c r="T424" s="522">
        <f>SUM(T421:T423)</f>
        <v>1.28</v>
      </c>
      <c r="U424" s="522">
        <f>T424+N424+H424</f>
        <v>246.93771321350124</v>
      </c>
      <c r="V424" s="1005">
        <f>U424*$U$4</f>
        <v>332.95711980088737</v>
      </c>
    </row>
    <row r="425" spans="1:22" ht="12.75">
      <c r="A425" s="1002"/>
      <c r="B425" s="546"/>
      <c r="C425" s="1039"/>
      <c r="D425" s="1002"/>
      <c r="E425" s="413"/>
      <c r="F425" s="412"/>
      <c r="G425" s="414"/>
      <c r="H425" s="1057"/>
      <c r="I425" s="1002"/>
      <c r="J425" s="412"/>
      <c r="K425" s="414"/>
      <c r="L425" s="412"/>
      <c r="M425" s="412"/>
      <c r="N425" s="1091"/>
      <c r="O425" s="1002"/>
      <c r="P425" s="412"/>
      <c r="Q425" s="412"/>
      <c r="R425" s="412"/>
      <c r="S425" s="412"/>
      <c r="T425" s="514"/>
      <c r="U425" s="507"/>
      <c r="V425" s="1005"/>
    </row>
    <row r="426" spans="1:22" ht="12.75">
      <c r="A426" s="1002">
        <v>69</v>
      </c>
      <c r="B426" s="546" t="s">
        <v>3258</v>
      </c>
      <c r="C426" s="1039"/>
      <c r="D426" s="1002" t="s">
        <v>2929</v>
      </c>
      <c r="E426" s="413" t="s">
        <v>24</v>
      </c>
      <c r="F426" s="412">
        <v>1.05</v>
      </c>
      <c r="G426" s="414">
        <f>'Material price'!D125</f>
        <v>220</v>
      </c>
      <c r="H426" s="1057">
        <f>F426*G426</f>
        <v>231</v>
      </c>
      <c r="I426" s="1002" t="s">
        <v>275</v>
      </c>
      <c r="J426" s="412">
        <v>1</v>
      </c>
      <c r="K426" s="414">
        <v>0.25</v>
      </c>
      <c r="L426" s="415">
        <f>'Labour Cost'!F7</f>
        <v>20.81362580128205</v>
      </c>
      <c r="M426" s="412">
        <v>0.31</v>
      </c>
      <c r="N426" s="1091">
        <f>J426*K426*L426/M426</f>
        <v>16.785182097808104</v>
      </c>
      <c r="O426" s="1002" t="s">
        <v>277</v>
      </c>
      <c r="P426" s="412">
        <v>2</v>
      </c>
      <c r="Q426" s="412">
        <v>1</v>
      </c>
      <c r="R426" s="412">
        <f>R10</f>
        <v>0.32</v>
      </c>
      <c r="S426" s="412">
        <v>0.31</v>
      </c>
      <c r="T426" s="515">
        <f>P426*R426/S426</f>
        <v>2.064516129032258</v>
      </c>
      <c r="U426" s="507"/>
      <c r="V426" s="1005"/>
    </row>
    <row r="427" spans="1:22" ht="12.75">
      <c r="A427" s="1002"/>
      <c r="B427" s="546" t="s">
        <v>3259</v>
      </c>
      <c r="C427" s="1039"/>
      <c r="D427" s="1002" t="s">
        <v>1290</v>
      </c>
      <c r="E427" s="413" t="s">
        <v>1982</v>
      </c>
      <c r="F427" s="412">
        <v>0.13</v>
      </c>
      <c r="G427" s="414">
        <f>G69</f>
        <v>255.3913043478261</v>
      </c>
      <c r="H427" s="1057">
        <f>F427*G427</f>
        <v>33.200869565217396</v>
      </c>
      <c r="I427" s="1002" t="s">
        <v>2010</v>
      </c>
      <c r="J427" s="412">
        <v>1</v>
      </c>
      <c r="K427" s="414">
        <v>1</v>
      </c>
      <c r="L427" s="415">
        <f>'Labour Cost'!F13</f>
        <v>35</v>
      </c>
      <c r="M427" s="412">
        <v>0.31</v>
      </c>
      <c r="N427" s="1091">
        <f>J427*K427*L427/M427</f>
        <v>112.90322580645162</v>
      </c>
      <c r="O427" s="1002"/>
      <c r="P427" s="412"/>
      <c r="Q427" s="412"/>
      <c r="R427" s="412"/>
      <c r="S427" s="412"/>
      <c r="T427" s="514"/>
      <c r="U427" s="507"/>
      <c r="V427" s="1005"/>
    </row>
    <row r="428" spans="1:22" ht="12.75">
      <c r="A428" s="1002"/>
      <c r="B428" s="546" t="s">
        <v>3257</v>
      </c>
      <c r="C428" s="1039" t="s">
        <v>24</v>
      </c>
      <c r="D428" s="1002" t="s">
        <v>1291</v>
      </c>
      <c r="E428" s="413" t="s">
        <v>25</v>
      </c>
      <c r="F428" s="412">
        <v>0.03</v>
      </c>
      <c r="G428" s="414">
        <f>'Material price'!D8</f>
        <v>312.5</v>
      </c>
      <c r="H428" s="1059">
        <f>F428*G428</f>
        <v>9.375</v>
      </c>
      <c r="I428" s="1002" t="s">
        <v>2414</v>
      </c>
      <c r="J428" s="412">
        <v>2</v>
      </c>
      <c r="K428" s="414">
        <v>1</v>
      </c>
      <c r="L428" s="415">
        <f>'Labour Cost'!F21</f>
        <v>8.75</v>
      </c>
      <c r="M428" s="412">
        <v>0.31</v>
      </c>
      <c r="N428" s="1091">
        <f>J428*K428*L428/M428</f>
        <v>56.45161290322581</v>
      </c>
      <c r="O428" s="1002"/>
      <c r="P428" s="412"/>
      <c r="Q428" s="412"/>
      <c r="R428" s="412"/>
      <c r="S428" s="412"/>
      <c r="T428" s="514"/>
      <c r="U428" s="507"/>
      <c r="V428" s="1005"/>
    </row>
    <row r="429" spans="1:22" ht="12.75">
      <c r="A429" s="1002"/>
      <c r="B429" s="546"/>
      <c r="C429" s="1039"/>
      <c r="D429" s="1002" t="s">
        <v>1178</v>
      </c>
      <c r="E429" s="413" t="s">
        <v>25</v>
      </c>
      <c r="F429" s="412">
        <v>0.15</v>
      </c>
      <c r="G429" s="414">
        <f>'Material price'!D17</f>
        <v>3</v>
      </c>
      <c r="H429" s="1057">
        <f>F429*G429</f>
        <v>0.44999999999999996</v>
      </c>
      <c r="I429" s="1002"/>
      <c r="J429" s="412"/>
      <c r="K429" s="414"/>
      <c r="L429" s="412"/>
      <c r="M429" s="412"/>
      <c r="N429" s="1091"/>
      <c r="O429" s="1002"/>
      <c r="P429" s="412"/>
      <c r="Q429" s="412"/>
      <c r="R429" s="412"/>
      <c r="S429" s="412"/>
      <c r="T429" s="514"/>
      <c r="U429" s="507"/>
      <c r="V429" s="1005"/>
    </row>
    <row r="430" spans="1:22" ht="12.75">
      <c r="A430" s="1013"/>
      <c r="B430" s="1032"/>
      <c r="C430" s="1051"/>
      <c r="D430" s="1013"/>
      <c r="E430" s="542"/>
      <c r="F430" s="522"/>
      <c r="G430" s="522"/>
      <c r="H430" s="1005">
        <f>SUM(H426:H429)</f>
        <v>274.02586956521736</v>
      </c>
      <c r="I430" s="1013"/>
      <c r="J430" s="522"/>
      <c r="K430" s="522"/>
      <c r="L430" s="522"/>
      <c r="M430" s="522"/>
      <c r="N430" s="1005">
        <f>SUM(N426:N429)</f>
        <v>186.14002080748554</v>
      </c>
      <c r="O430" s="1013"/>
      <c r="P430" s="522"/>
      <c r="Q430" s="522"/>
      <c r="R430" s="522"/>
      <c r="S430" s="522"/>
      <c r="T430" s="522">
        <f>SUM(T426:T429)</f>
        <v>2.064516129032258</v>
      </c>
      <c r="U430" s="522">
        <f>H430+N430+T430</f>
        <v>462.23040650173516</v>
      </c>
      <c r="V430" s="1005">
        <f>U430*$U$4</f>
        <v>623.2458494508992</v>
      </c>
    </row>
    <row r="431" spans="1:22" ht="12.75">
      <c r="A431" s="1002"/>
      <c r="B431" s="546"/>
      <c r="C431" s="1039"/>
      <c r="D431" s="1002"/>
      <c r="E431" s="413"/>
      <c r="F431" s="412"/>
      <c r="G431" s="414"/>
      <c r="H431" s="1057"/>
      <c r="I431" s="1002"/>
      <c r="J431" s="412"/>
      <c r="K431" s="414"/>
      <c r="L431" s="412"/>
      <c r="M431" s="412"/>
      <c r="N431" s="1091"/>
      <c r="O431" s="1002"/>
      <c r="P431" s="412"/>
      <c r="Q431" s="412"/>
      <c r="R431" s="412"/>
      <c r="S431" s="412"/>
      <c r="T431" s="514"/>
      <c r="U431" s="507"/>
      <c r="V431" s="1005"/>
    </row>
    <row r="432" spans="1:22" ht="12.75">
      <c r="A432" s="1002">
        <v>70</v>
      </c>
      <c r="B432" s="546" t="s">
        <v>1979</v>
      </c>
      <c r="C432" s="1039"/>
      <c r="D432" s="1002" t="s">
        <v>1981</v>
      </c>
      <c r="E432" s="413" t="s">
        <v>24</v>
      </c>
      <c r="F432" s="412">
        <v>1.05</v>
      </c>
      <c r="G432" s="414">
        <f>'Material price'!D121+(2)</f>
        <v>193.3</v>
      </c>
      <c r="H432" s="1059">
        <f>F432*G432</f>
        <v>202.96500000000003</v>
      </c>
      <c r="I432" s="1002" t="s">
        <v>275</v>
      </c>
      <c r="J432" s="412">
        <v>1</v>
      </c>
      <c r="K432" s="414">
        <v>0.25</v>
      </c>
      <c r="L432" s="415">
        <f>'Labour Cost'!F7</f>
        <v>20.81362580128205</v>
      </c>
      <c r="M432" s="412">
        <v>0.38</v>
      </c>
      <c r="N432" s="1091">
        <f>J432*K432*L432/M432</f>
        <v>13.693174869264507</v>
      </c>
      <c r="O432" s="1002" t="s">
        <v>277</v>
      </c>
      <c r="P432" s="412">
        <v>4</v>
      </c>
      <c r="Q432" s="412">
        <v>1</v>
      </c>
      <c r="R432" s="412">
        <f>R10</f>
        <v>0.32</v>
      </c>
      <c r="S432" s="412">
        <v>0.38</v>
      </c>
      <c r="T432" s="515">
        <f>P432*R432/S432</f>
        <v>3.3684210526315788</v>
      </c>
      <c r="U432" s="507"/>
      <c r="V432" s="1005"/>
    </row>
    <row r="433" spans="1:22" ht="12.75">
      <c r="A433" s="1002"/>
      <c r="B433" s="546" t="s">
        <v>1980</v>
      </c>
      <c r="C433" s="1039" t="s">
        <v>24</v>
      </c>
      <c r="D433" s="1002" t="s">
        <v>1290</v>
      </c>
      <c r="E433" s="413" t="s">
        <v>1982</v>
      </c>
      <c r="F433" s="412">
        <v>0.13</v>
      </c>
      <c r="G433" s="414">
        <f>G427</f>
        <v>255.3913043478261</v>
      </c>
      <c r="H433" s="1059">
        <f>F433*G433</f>
        <v>33.200869565217396</v>
      </c>
      <c r="I433" s="1002" t="s">
        <v>2010</v>
      </c>
      <c r="J433" s="412">
        <v>1</v>
      </c>
      <c r="K433" s="414">
        <v>1</v>
      </c>
      <c r="L433" s="412">
        <v>4.38</v>
      </c>
      <c r="M433" s="412">
        <v>0.38</v>
      </c>
      <c r="N433" s="1091">
        <f>J433*K433*L433/M433</f>
        <v>11.526315789473683</v>
      </c>
      <c r="O433" s="1002"/>
      <c r="P433" s="412"/>
      <c r="Q433" s="412"/>
      <c r="R433" s="412"/>
      <c r="S433" s="412"/>
      <c r="T433" s="514"/>
      <c r="U433" s="507"/>
      <c r="V433" s="1005"/>
    </row>
    <row r="434" spans="1:22" ht="12.75">
      <c r="A434" s="1002"/>
      <c r="B434" s="546"/>
      <c r="C434" s="1039"/>
      <c r="D434" s="1002" t="s">
        <v>1291</v>
      </c>
      <c r="E434" s="413" t="s">
        <v>25</v>
      </c>
      <c r="F434" s="412">
        <v>0.02</v>
      </c>
      <c r="G434" s="414">
        <f>G428</f>
        <v>312.5</v>
      </c>
      <c r="H434" s="1059">
        <f>F434*G434</f>
        <v>6.25</v>
      </c>
      <c r="I434" s="1002" t="s">
        <v>2424</v>
      </c>
      <c r="J434" s="412">
        <v>4</v>
      </c>
      <c r="K434" s="414">
        <v>1</v>
      </c>
      <c r="L434" s="415">
        <f>'Labour Cost'!F21</f>
        <v>8.75</v>
      </c>
      <c r="M434" s="412">
        <v>0.38</v>
      </c>
      <c r="N434" s="1091">
        <f>J434*K434*L434/M434</f>
        <v>92.10526315789474</v>
      </c>
      <c r="O434" s="1002"/>
      <c r="P434" s="412"/>
      <c r="Q434" s="412"/>
      <c r="R434" s="412"/>
      <c r="S434" s="412"/>
      <c r="T434" s="514"/>
      <c r="U434" s="507"/>
      <c r="V434" s="1005"/>
    </row>
    <row r="435" spans="1:22" ht="12.75">
      <c r="A435" s="1002"/>
      <c r="B435" s="546"/>
      <c r="C435" s="1039"/>
      <c r="D435" s="1002" t="s">
        <v>1178</v>
      </c>
      <c r="E435" s="413" t="s">
        <v>25</v>
      </c>
      <c r="F435" s="412">
        <v>0.15</v>
      </c>
      <c r="G435" s="414">
        <f>G429</f>
        <v>3</v>
      </c>
      <c r="H435" s="1059">
        <f>F435*G435</f>
        <v>0.44999999999999996</v>
      </c>
      <c r="I435" s="1002"/>
      <c r="J435" s="412"/>
      <c r="K435" s="414"/>
      <c r="L435" s="412"/>
      <c r="M435" s="412"/>
      <c r="N435" s="1091"/>
      <c r="O435" s="1002"/>
      <c r="P435" s="412"/>
      <c r="Q435" s="412"/>
      <c r="R435" s="412"/>
      <c r="S435" s="412"/>
      <c r="T435" s="514"/>
      <c r="U435" s="507"/>
      <c r="V435" s="1005"/>
    </row>
    <row r="436" spans="1:22" ht="12.75">
      <c r="A436" s="1004"/>
      <c r="B436" s="548"/>
      <c r="C436" s="1040"/>
      <c r="D436" s="1004"/>
      <c r="E436" s="521"/>
      <c r="F436" s="520"/>
      <c r="G436" s="522"/>
      <c r="H436" s="1005">
        <f>SUM(H432:H435)</f>
        <v>242.86586956521742</v>
      </c>
      <c r="I436" s="1004"/>
      <c r="J436" s="520"/>
      <c r="K436" s="522"/>
      <c r="L436" s="520"/>
      <c r="M436" s="520"/>
      <c r="N436" s="1058">
        <f>SUM(N432:N435)</f>
        <v>117.32475381663292</v>
      </c>
      <c r="O436" s="1004"/>
      <c r="P436" s="520"/>
      <c r="Q436" s="520"/>
      <c r="R436" s="520"/>
      <c r="S436" s="520"/>
      <c r="T436" s="522">
        <f>SUM(T432:T435)</f>
        <v>3.3684210526315788</v>
      </c>
      <c r="U436" s="522">
        <f>H436+N436+T436</f>
        <v>363.5590444344819</v>
      </c>
      <c r="V436" s="1005">
        <f>U436*$U$4</f>
        <v>490.2028561664415</v>
      </c>
    </row>
    <row r="437" spans="1:22" ht="12.75">
      <c r="A437" s="1002"/>
      <c r="B437" s="546"/>
      <c r="C437" s="1039"/>
      <c r="D437" s="1002"/>
      <c r="E437" s="413"/>
      <c r="F437" s="412"/>
      <c r="G437" s="414"/>
      <c r="H437" s="1057"/>
      <c r="I437" s="1002"/>
      <c r="J437" s="412"/>
      <c r="K437" s="414"/>
      <c r="L437" s="412"/>
      <c r="M437" s="412"/>
      <c r="N437" s="1091"/>
      <c r="O437" s="1002"/>
      <c r="P437" s="412"/>
      <c r="Q437" s="412"/>
      <c r="R437" s="412"/>
      <c r="S437" s="412"/>
      <c r="T437" s="514"/>
      <c r="U437" s="507"/>
      <c r="V437" s="1005"/>
    </row>
    <row r="438" spans="1:22" ht="12.75">
      <c r="A438" s="1002">
        <v>71</v>
      </c>
      <c r="B438" s="546" t="s">
        <v>1984</v>
      </c>
      <c r="C438" s="1039"/>
      <c r="D438" s="1002"/>
      <c r="E438" s="413"/>
      <c r="F438" s="412"/>
      <c r="G438" s="414"/>
      <c r="H438" s="1057"/>
      <c r="I438" s="1002"/>
      <c r="J438" s="412"/>
      <c r="K438" s="414"/>
      <c r="L438" s="412"/>
      <c r="M438" s="412"/>
      <c r="N438" s="1091"/>
      <c r="O438" s="1002"/>
      <c r="P438" s="412"/>
      <c r="Q438" s="412"/>
      <c r="R438" s="412"/>
      <c r="S438" s="412"/>
      <c r="T438" s="514"/>
      <c r="U438" s="507"/>
      <c r="V438" s="1005"/>
    </row>
    <row r="439" spans="1:22" ht="12.75">
      <c r="A439" s="1002"/>
      <c r="B439" s="546" t="s">
        <v>1985</v>
      </c>
      <c r="C439" s="1039" t="s">
        <v>92</v>
      </c>
      <c r="D439" s="1002" t="s">
        <v>1986</v>
      </c>
      <c r="E439" s="413" t="s">
        <v>92</v>
      </c>
      <c r="F439" s="412">
        <v>1.05</v>
      </c>
      <c r="G439" s="414">
        <f>'Material price'!D176</f>
        <v>67.88</v>
      </c>
      <c r="H439" s="1059">
        <f>F439*G439</f>
        <v>71.274</v>
      </c>
      <c r="I439" s="1002" t="s">
        <v>275</v>
      </c>
      <c r="J439" s="412">
        <v>1</v>
      </c>
      <c r="K439" s="414">
        <v>0.25</v>
      </c>
      <c r="L439" s="415">
        <f>'Labour Cost'!F7</f>
        <v>20.81362580128205</v>
      </c>
      <c r="M439" s="414">
        <v>5</v>
      </c>
      <c r="N439" s="1090">
        <f>J439*K439*L439/M439</f>
        <v>1.0406812900641025</v>
      </c>
      <c r="O439" s="1002" t="s">
        <v>277</v>
      </c>
      <c r="P439" s="412">
        <v>2</v>
      </c>
      <c r="Q439" s="412">
        <v>1</v>
      </c>
      <c r="R439" s="412">
        <f>R10</f>
        <v>0.32</v>
      </c>
      <c r="S439" s="414">
        <v>5</v>
      </c>
      <c r="T439" s="515">
        <f>P439*R439/S439</f>
        <v>0.128</v>
      </c>
      <c r="U439" s="507"/>
      <c r="V439" s="1005"/>
    </row>
    <row r="440" spans="1:22" ht="12.75">
      <c r="A440" s="1002"/>
      <c r="B440" s="546"/>
      <c r="C440" s="1039"/>
      <c r="D440" s="1002" t="s">
        <v>1290</v>
      </c>
      <c r="E440" s="413" t="s">
        <v>1982</v>
      </c>
      <c r="F440" s="412">
        <v>0.01</v>
      </c>
      <c r="G440" s="414">
        <f>G433</f>
        <v>255.3913043478261</v>
      </c>
      <c r="H440" s="1059">
        <f>F440*G440</f>
        <v>2.553913043478261</v>
      </c>
      <c r="I440" s="1002" t="s">
        <v>2010</v>
      </c>
      <c r="J440" s="412">
        <v>1</v>
      </c>
      <c r="K440" s="414">
        <v>1</v>
      </c>
      <c r="L440" s="415">
        <f>'Labour Cost'!F13</f>
        <v>35</v>
      </c>
      <c r="M440" s="414">
        <v>5</v>
      </c>
      <c r="N440" s="1090">
        <f>J440*K440*L440/M440</f>
        <v>7</v>
      </c>
      <c r="O440" s="1002"/>
      <c r="P440" s="412"/>
      <c r="Q440" s="412"/>
      <c r="R440" s="412"/>
      <c r="S440" s="412"/>
      <c r="T440" s="514"/>
      <c r="U440" s="507"/>
      <c r="V440" s="1005"/>
    </row>
    <row r="441" spans="1:22" ht="12.75">
      <c r="A441" s="1002"/>
      <c r="B441" s="546"/>
      <c r="C441" s="1039"/>
      <c r="D441" s="1002" t="s">
        <v>1291</v>
      </c>
      <c r="E441" s="413" t="s">
        <v>25</v>
      </c>
      <c r="F441" s="422">
        <v>0.002</v>
      </c>
      <c r="G441" s="414">
        <f>G434</f>
        <v>312.5</v>
      </c>
      <c r="H441" s="1059">
        <f>F441*G441</f>
        <v>0.625</v>
      </c>
      <c r="I441" s="1002" t="s">
        <v>2424</v>
      </c>
      <c r="J441" s="412">
        <v>2</v>
      </c>
      <c r="K441" s="414">
        <v>1</v>
      </c>
      <c r="L441" s="415">
        <f>'Labour Cost'!F21</f>
        <v>8.75</v>
      </c>
      <c r="M441" s="414">
        <v>5</v>
      </c>
      <c r="N441" s="1090">
        <f>J441*K441*L441/M441</f>
        <v>3.5</v>
      </c>
      <c r="O441" s="1002"/>
      <c r="P441" s="412"/>
      <c r="Q441" s="412"/>
      <c r="R441" s="412"/>
      <c r="S441" s="412"/>
      <c r="T441" s="514"/>
      <c r="U441" s="507"/>
      <c r="V441" s="1005"/>
    </row>
    <row r="442" spans="1:22" ht="12.75">
      <c r="A442" s="1002"/>
      <c r="B442" s="546"/>
      <c r="C442" s="1039"/>
      <c r="D442" s="1002" t="s">
        <v>1178</v>
      </c>
      <c r="E442" s="413" t="s">
        <v>25</v>
      </c>
      <c r="F442" s="412">
        <v>0.1</v>
      </c>
      <c r="G442" s="414">
        <f>G435</f>
        <v>3</v>
      </c>
      <c r="H442" s="1059">
        <f>F442*G442</f>
        <v>0.30000000000000004</v>
      </c>
      <c r="I442" s="1002"/>
      <c r="J442" s="412"/>
      <c r="K442" s="414"/>
      <c r="L442" s="412"/>
      <c r="M442" s="412"/>
      <c r="N442" s="1090"/>
      <c r="O442" s="1002"/>
      <c r="P442" s="412"/>
      <c r="Q442" s="412"/>
      <c r="R442" s="412"/>
      <c r="S442" s="412"/>
      <c r="T442" s="514"/>
      <c r="U442" s="507"/>
      <c r="V442" s="1005"/>
    </row>
    <row r="443" spans="1:22" ht="12.75">
      <c r="A443" s="1004"/>
      <c r="B443" s="548"/>
      <c r="C443" s="1040"/>
      <c r="D443" s="1004"/>
      <c r="E443" s="521"/>
      <c r="F443" s="520"/>
      <c r="G443" s="522"/>
      <c r="H443" s="1005">
        <f>SUM(H439:H442)</f>
        <v>74.75291304347826</v>
      </c>
      <c r="I443" s="1004"/>
      <c r="J443" s="520"/>
      <c r="K443" s="522"/>
      <c r="L443" s="520"/>
      <c r="M443" s="520"/>
      <c r="N443" s="1005">
        <f>SUM(N439:N442)</f>
        <v>11.540681290064102</v>
      </c>
      <c r="O443" s="1004"/>
      <c r="P443" s="520"/>
      <c r="Q443" s="520"/>
      <c r="R443" s="520"/>
      <c r="S443" s="520"/>
      <c r="T443" s="522">
        <f>SUM(T439:T442)</f>
        <v>0.128</v>
      </c>
      <c r="U443" s="522">
        <f>H443+N443+T443</f>
        <v>86.42159433354236</v>
      </c>
      <c r="V443" s="1005">
        <f>U443*$U$4</f>
        <v>116.52608572194272</v>
      </c>
    </row>
    <row r="444" spans="1:22" ht="12.75">
      <c r="A444" s="1002"/>
      <c r="B444" s="546"/>
      <c r="C444" s="1039"/>
      <c r="D444" s="1002"/>
      <c r="E444" s="413"/>
      <c r="F444" s="412"/>
      <c r="G444" s="414"/>
      <c r="H444" s="1057"/>
      <c r="I444" s="1002"/>
      <c r="J444" s="412"/>
      <c r="K444" s="414"/>
      <c r="L444" s="412"/>
      <c r="M444" s="412"/>
      <c r="N444" s="1091"/>
      <c r="O444" s="1002"/>
      <c r="P444" s="412"/>
      <c r="Q444" s="412"/>
      <c r="R444" s="412"/>
      <c r="S444" s="412"/>
      <c r="T444" s="514"/>
      <c r="U444" s="507"/>
      <c r="V444" s="1005"/>
    </row>
    <row r="445" spans="1:22" ht="12.75">
      <c r="A445" s="1002">
        <v>72</v>
      </c>
      <c r="B445" s="546" t="s">
        <v>986</v>
      </c>
      <c r="C445" s="1039"/>
      <c r="D445" s="1002"/>
      <c r="E445" s="413"/>
      <c r="F445" s="412"/>
      <c r="G445" s="414"/>
      <c r="H445" s="1057"/>
      <c r="I445" s="1002"/>
      <c r="J445" s="412"/>
      <c r="K445" s="414"/>
      <c r="L445" s="412"/>
      <c r="M445" s="412"/>
      <c r="N445" s="1091"/>
      <c r="O445" s="1002"/>
      <c r="P445" s="412"/>
      <c r="Q445" s="412"/>
      <c r="R445" s="412"/>
      <c r="S445" s="412"/>
      <c r="T445" s="514"/>
      <c r="U445" s="507"/>
      <c r="V445" s="1005"/>
    </row>
    <row r="446" spans="1:22" ht="12.75">
      <c r="A446" s="1002"/>
      <c r="B446" s="546" t="s">
        <v>1986</v>
      </c>
      <c r="C446" s="1039" t="s">
        <v>92</v>
      </c>
      <c r="D446" s="1002" t="s">
        <v>985</v>
      </c>
      <c r="E446" s="413" t="s">
        <v>92</v>
      </c>
      <c r="F446" s="412">
        <v>1.05</v>
      </c>
      <c r="G446" s="414">
        <f>'Material price'!D195+(0.5)</f>
        <v>12</v>
      </c>
      <c r="H446" s="1059">
        <f>F446*G446</f>
        <v>12.600000000000001</v>
      </c>
      <c r="I446" s="1002" t="s">
        <v>275</v>
      </c>
      <c r="J446" s="412">
        <v>1</v>
      </c>
      <c r="K446" s="414">
        <v>0.25</v>
      </c>
      <c r="L446" s="415">
        <f>'Labour Cost'!F7</f>
        <v>20.81362580128205</v>
      </c>
      <c r="M446" s="414">
        <v>5</v>
      </c>
      <c r="N446" s="1090">
        <f>J446*K446*L446/M446</f>
        <v>1.0406812900641025</v>
      </c>
      <c r="O446" s="1002" t="s">
        <v>277</v>
      </c>
      <c r="P446" s="412">
        <v>2</v>
      </c>
      <c r="Q446" s="412">
        <v>1</v>
      </c>
      <c r="R446" s="412">
        <f>R10</f>
        <v>0.32</v>
      </c>
      <c r="S446" s="412">
        <v>5</v>
      </c>
      <c r="T446" s="515">
        <f>P446*R446/S446</f>
        <v>0.128</v>
      </c>
      <c r="U446" s="507"/>
      <c r="V446" s="1005"/>
    </row>
    <row r="447" spans="1:22" ht="12.75">
      <c r="A447" s="1002"/>
      <c r="B447" s="546"/>
      <c r="C447" s="1039"/>
      <c r="D447" s="1002" t="s">
        <v>1355</v>
      </c>
      <c r="E447" s="413" t="s">
        <v>86</v>
      </c>
      <c r="F447" s="412">
        <v>0.02</v>
      </c>
      <c r="G447" s="414">
        <f>43.48</f>
        <v>43.48</v>
      </c>
      <c r="H447" s="1059">
        <f>F447*G447</f>
        <v>0.8695999999999999</v>
      </c>
      <c r="I447" s="1002" t="s">
        <v>2010</v>
      </c>
      <c r="J447" s="412">
        <v>1</v>
      </c>
      <c r="K447" s="414">
        <v>1</v>
      </c>
      <c r="L447" s="415">
        <f>'Labour Cost'!F13</f>
        <v>35</v>
      </c>
      <c r="M447" s="414">
        <v>5</v>
      </c>
      <c r="N447" s="1090">
        <f>J447*K447*L447/M447</f>
        <v>7</v>
      </c>
      <c r="O447" s="1002"/>
      <c r="P447" s="412"/>
      <c r="Q447" s="412"/>
      <c r="R447" s="412"/>
      <c r="S447" s="412"/>
      <c r="T447" s="514"/>
      <c r="U447" s="507"/>
      <c r="V447" s="1005"/>
    </row>
    <row r="448" spans="1:22" ht="12.75">
      <c r="A448" s="1002"/>
      <c r="B448" s="546"/>
      <c r="C448" s="1039"/>
      <c r="D448" s="1002"/>
      <c r="E448" s="413"/>
      <c r="F448" s="412"/>
      <c r="G448" s="414"/>
      <c r="H448" s="1057"/>
      <c r="I448" s="1002" t="s">
        <v>2424</v>
      </c>
      <c r="J448" s="412">
        <v>2</v>
      </c>
      <c r="K448" s="414">
        <v>1</v>
      </c>
      <c r="L448" s="415">
        <f>'Labour Cost'!F21</f>
        <v>8.75</v>
      </c>
      <c r="M448" s="414">
        <v>5</v>
      </c>
      <c r="N448" s="1090">
        <f>J448*K448*L448/M448</f>
        <v>3.5</v>
      </c>
      <c r="O448" s="1002"/>
      <c r="P448" s="412"/>
      <c r="Q448" s="412"/>
      <c r="R448" s="412"/>
      <c r="S448" s="412"/>
      <c r="T448" s="514"/>
      <c r="U448" s="507"/>
      <c r="V448" s="1005"/>
    </row>
    <row r="449" spans="1:22" ht="12.75">
      <c r="A449" s="1004"/>
      <c r="B449" s="548"/>
      <c r="C449" s="1040"/>
      <c r="D449" s="1004"/>
      <c r="E449" s="521"/>
      <c r="F449" s="520"/>
      <c r="G449" s="522"/>
      <c r="H449" s="1005">
        <f>SUM(H446:H448)</f>
        <v>13.469600000000002</v>
      </c>
      <c r="I449" s="1004"/>
      <c r="J449" s="520"/>
      <c r="K449" s="522"/>
      <c r="L449" s="520"/>
      <c r="M449" s="520"/>
      <c r="N449" s="1005">
        <f>SUM(N446:N448)</f>
        <v>11.540681290064102</v>
      </c>
      <c r="O449" s="1004"/>
      <c r="P449" s="520"/>
      <c r="Q449" s="520"/>
      <c r="R449" s="520"/>
      <c r="S449" s="520"/>
      <c r="T449" s="522">
        <f>SUM(T446:T448)</f>
        <v>0.128</v>
      </c>
      <c r="U449" s="522">
        <f>H449+N449+T449</f>
        <v>25.138281290064104</v>
      </c>
      <c r="V449" s="1005">
        <f>U449*$U$4</f>
        <v>33.895064573824904</v>
      </c>
    </row>
    <row r="450" spans="1:22" ht="12.75">
      <c r="A450" s="1002"/>
      <c r="B450" s="546"/>
      <c r="C450" s="1039"/>
      <c r="D450" s="1002"/>
      <c r="E450" s="413"/>
      <c r="F450" s="412"/>
      <c r="G450" s="414"/>
      <c r="H450" s="1057"/>
      <c r="I450" s="1002"/>
      <c r="J450" s="412"/>
      <c r="K450" s="414"/>
      <c r="L450" s="412"/>
      <c r="M450" s="412"/>
      <c r="N450" s="1091"/>
      <c r="O450" s="1002"/>
      <c r="P450" s="412"/>
      <c r="Q450" s="412"/>
      <c r="R450" s="412"/>
      <c r="S450" s="412"/>
      <c r="T450" s="514"/>
      <c r="U450" s="507"/>
      <c r="V450" s="1005"/>
    </row>
    <row r="451" spans="1:22" ht="12.75">
      <c r="A451" s="1002">
        <v>73</v>
      </c>
      <c r="B451" s="546" t="s">
        <v>3261</v>
      </c>
      <c r="C451" s="1039"/>
      <c r="D451" s="1002"/>
      <c r="E451" s="413"/>
      <c r="F451" s="412"/>
      <c r="G451" s="414"/>
      <c r="H451" s="1057"/>
      <c r="I451" s="1002"/>
      <c r="J451" s="412"/>
      <c r="K451" s="414"/>
      <c r="L451" s="412"/>
      <c r="M451" s="412"/>
      <c r="N451" s="1091"/>
      <c r="O451" s="1002"/>
      <c r="P451" s="412"/>
      <c r="Q451" s="412"/>
      <c r="R451" s="412"/>
      <c r="S451" s="412"/>
      <c r="T451" s="514"/>
      <c r="U451" s="507"/>
      <c r="V451" s="1005"/>
    </row>
    <row r="452" spans="1:22" ht="12.75">
      <c r="A452" s="1002"/>
      <c r="B452" s="546" t="s">
        <v>3262</v>
      </c>
      <c r="C452" s="1039"/>
      <c r="D452" s="1002" t="s">
        <v>1697</v>
      </c>
      <c r="E452" s="413" t="s">
        <v>1840</v>
      </c>
      <c r="F452" s="422">
        <v>1.05</v>
      </c>
      <c r="G452" s="414">
        <f>'Material price'!D140</f>
        <v>87.05</v>
      </c>
      <c r="H452" s="1059">
        <f>F452*G452</f>
        <v>91.4025</v>
      </c>
      <c r="I452" s="1002" t="s">
        <v>275</v>
      </c>
      <c r="J452" s="412">
        <v>1</v>
      </c>
      <c r="K452" s="414">
        <v>0.25</v>
      </c>
      <c r="L452" s="415">
        <f>'Labour Cost'!F7</f>
        <v>20.81362580128205</v>
      </c>
      <c r="M452" s="414">
        <v>1</v>
      </c>
      <c r="N452" s="1090">
        <f>K452*J452*L452/M452</f>
        <v>5.203406450320513</v>
      </c>
      <c r="O452" s="1002" t="s">
        <v>277</v>
      </c>
      <c r="P452" s="412">
        <v>2</v>
      </c>
      <c r="Q452" s="412">
        <v>1</v>
      </c>
      <c r="R452" s="412">
        <f>R10</f>
        <v>0.32</v>
      </c>
      <c r="S452" s="412">
        <v>1</v>
      </c>
      <c r="T452" s="515">
        <f>P452*R452/S452</f>
        <v>0.64</v>
      </c>
      <c r="U452" s="507"/>
      <c r="V452" s="1005"/>
    </row>
    <row r="453" spans="1:22" ht="12.75">
      <c r="A453" s="1002"/>
      <c r="B453" s="546" t="s">
        <v>3260</v>
      </c>
      <c r="C453" s="1039" t="s">
        <v>92</v>
      </c>
      <c r="D453" s="1002" t="s">
        <v>1290</v>
      </c>
      <c r="E453" s="413" t="s">
        <v>1982</v>
      </c>
      <c r="F453" s="422">
        <v>0.01</v>
      </c>
      <c r="G453" s="414">
        <f>G440</f>
        <v>255.3913043478261</v>
      </c>
      <c r="H453" s="1059">
        <f>F453*G453</f>
        <v>2.553913043478261</v>
      </c>
      <c r="I453" s="1002" t="s">
        <v>2010</v>
      </c>
      <c r="J453" s="412">
        <v>1</v>
      </c>
      <c r="K453" s="414">
        <v>1</v>
      </c>
      <c r="L453" s="415">
        <f>'Labour Cost'!F13</f>
        <v>35</v>
      </c>
      <c r="M453" s="414">
        <v>1</v>
      </c>
      <c r="N453" s="1090">
        <f>K453*J453*L453/M453</f>
        <v>35</v>
      </c>
      <c r="O453" s="1002"/>
      <c r="P453" s="412"/>
      <c r="Q453" s="412"/>
      <c r="R453" s="412"/>
      <c r="S453" s="412"/>
      <c r="T453" s="514"/>
      <c r="U453" s="507"/>
      <c r="V453" s="1005"/>
    </row>
    <row r="454" spans="1:22" ht="12.75">
      <c r="A454" s="1002"/>
      <c r="B454" s="546"/>
      <c r="C454" s="1039"/>
      <c r="D454" s="1002" t="s">
        <v>1291</v>
      </c>
      <c r="E454" s="413" t="s">
        <v>25</v>
      </c>
      <c r="F454" s="422">
        <v>0.002</v>
      </c>
      <c r="G454" s="414">
        <f>G441</f>
        <v>312.5</v>
      </c>
      <c r="H454" s="1059">
        <f>F454*G454</f>
        <v>0.625</v>
      </c>
      <c r="I454" s="1002" t="s">
        <v>2424</v>
      </c>
      <c r="J454" s="412">
        <v>2</v>
      </c>
      <c r="K454" s="414">
        <v>1</v>
      </c>
      <c r="L454" s="415">
        <f>'Labour Cost'!F21</f>
        <v>8.75</v>
      </c>
      <c r="M454" s="414">
        <v>1</v>
      </c>
      <c r="N454" s="1090">
        <f>K454*J454*L454/M454</f>
        <v>17.5</v>
      </c>
      <c r="O454" s="1002"/>
      <c r="P454" s="412"/>
      <c r="Q454" s="412"/>
      <c r="R454" s="412"/>
      <c r="S454" s="412"/>
      <c r="T454" s="514"/>
      <c r="U454" s="507"/>
      <c r="V454" s="1005"/>
    </row>
    <row r="455" spans="1:22" ht="12.75">
      <c r="A455" s="1002"/>
      <c r="B455" s="546"/>
      <c r="C455" s="1039"/>
      <c r="D455" s="1002" t="s">
        <v>1178</v>
      </c>
      <c r="E455" s="413" t="s">
        <v>25</v>
      </c>
      <c r="F455" s="422">
        <v>0.1</v>
      </c>
      <c r="G455" s="414">
        <f>G442</f>
        <v>3</v>
      </c>
      <c r="H455" s="1059">
        <f>F455*G455</f>
        <v>0.30000000000000004</v>
      </c>
      <c r="I455" s="1002"/>
      <c r="J455" s="412"/>
      <c r="K455" s="414"/>
      <c r="L455" s="412"/>
      <c r="M455" s="412"/>
      <c r="N455" s="1091"/>
      <c r="O455" s="1002"/>
      <c r="P455" s="412"/>
      <c r="Q455" s="412"/>
      <c r="R455" s="412"/>
      <c r="S455" s="412"/>
      <c r="T455" s="514"/>
      <c r="U455" s="507"/>
      <c r="V455" s="1005"/>
    </row>
    <row r="456" spans="1:22" ht="12.75">
      <c r="A456" s="1013"/>
      <c r="B456" s="1032"/>
      <c r="C456" s="1051"/>
      <c r="D456" s="1013"/>
      <c r="E456" s="542"/>
      <c r="F456" s="522"/>
      <c r="G456" s="522"/>
      <c r="H456" s="1005">
        <f>SUM(H452:H455)</f>
        <v>94.88141304347826</v>
      </c>
      <c r="I456" s="1013"/>
      <c r="J456" s="522"/>
      <c r="K456" s="522"/>
      <c r="L456" s="522"/>
      <c r="M456" s="522"/>
      <c r="N456" s="1005">
        <f>SUM(N452:N455)</f>
        <v>57.703406450320514</v>
      </c>
      <c r="O456" s="1013"/>
      <c r="P456" s="522"/>
      <c r="Q456" s="522"/>
      <c r="R456" s="522"/>
      <c r="S456" s="522"/>
      <c r="T456" s="522">
        <f>SUM(T452:T455)</f>
        <v>0.64</v>
      </c>
      <c r="U456" s="522">
        <f>H456+N456+T456</f>
        <v>153.22481949379875</v>
      </c>
      <c r="V456" s="1005">
        <f>U456*$U$4</f>
        <v>206.5998502891973</v>
      </c>
    </row>
    <row r="457" spans="1:22" ht="12.75">
      <c r="A457" s="1002"/>
      <c r="B457" s="546"/>
      <c r="C457" s="1039"/>
      <c r="D457" s="1002"/>
      <c r="E457" s="413"/>
      <c r="F457" s="412"/>
      <c r="G457" s="414"/>
      <c r="H457" s="1057"/>
      <c r="I457" s="1002"/>
      <c r="J457" s="412"/>
      <c r="K457" s="414"/>
      <c r="L457" s="412"/>
      <c r="M457" s="412"/>
      <c r="N457" s="1091"/>
      <c r="O457" s="1002"/>
      <c r="P457" s="412"/>
      <c r="Q457" s="412"/>
      <c r="R457" s="412"/>
      <c r="S457" s="412"/>
      <c r="T457" s="514"/>
      <c r="U457" s="507"/>
      <c r="V457" s="694"/>
    </row>
    <row r="458" spans="1:22" ht="12.75">
      <c r="A458" s="1002"/>
      <c r="B458" s="546"/>
      <c r="C458" s="1039"/>
      <c r="D458" s="1002"/>
      <c r="E458" s="413"/>
      <c r="F458" s="412"/>
      <c r="G458" s="414"/>
      <c r="H458" s="1057"/>
      <c r="I458" s="1002"/>
      <c r="J458" s="412"/>
      <c r="K458" s="414"/>
      <c r="L458" s="412"/>
      <c r="M458" s="412"/>
      <c r="N458" s="1091"/>
      <c r="O458" s="1002"/>
      <c r="P458" s="412"/>
      <c r="Q458" s="412"/>
      <c r="R458" s="412"/>
      <c r="S458" s="412"/>
      <c r="T458" s="514"/>
      <c r="U458" s="507"/>
      <c r="V458" s="694"/>
    </row>
    <row r="459" spans="1:22" ht="12.75">
      <c r="A459" s="1002">
        <v>74</v>
      </c>
      <c r="B459" s="546" t="s">
        <v>3263</v>
      </c>
      <c r="C459" s="1039"/>
      <c r="D459" s="1002" t="s">
        <v>987</v>
      </c>
      <c r="E459" s="413" t="s">
        <v>24</v>
      </c>
      <c r="F459" s="414">
        <v>1.05</v>
      </c>
      <c r="G459" s="414">
        <f>'Material price'!D40</f>
        <v>166.47</v>
      </c>
      <c r="H459" s="1059">
        <f>F459*G459</f>
        <v>174.7935</v>
      </c>
      <c r="I459" s="1002" t="s">
        <v>788</v>
      </c>
      <c r="J459" s="412">
        <v>1</v>
      </c>
      <c r="K459" s="414">
        <v>0.25</v>
      </c>
      <c r="L459" s="414">
        <f>'Labour Cost'!F7</f>
        <v>20.81362580128205</v>
      </c>
      <c r="M459" s="414">
        <v>0.3</v>
      </c>
      <c r="N459" s="1090">
        <f>J459*K459*L459/M459</f>
        <v>17.344688167735043</v>
      </c>
      <c r="O459" s="1002" t="s">
        <v>277</v>
      </c>
      <c r="P459" s="412">
        <v>2</v>
      </c>
      <c r="Q459" s="412">
        <v>1</v>
      </c>
      <c r="R459" s="412">
        <f>R10</f>
        <v>0.32</v>
      </c>
      <c r="S459" s="414">
        <v>0.3</v>
      </c>
      <c r="T459" s="515">
        <f>P459*R459/S459</f>
        <v>2.1333333333333333</v>
      </c>
      <c r="U459" s="507"/>
      <c r="V459" s="694"/>
    </row>
    <row r="460" spans="1:22" ht="12.75">
      <c r="A460" s="1002"/>
      <c r="B460" s="546" t="s">
        <v>3264</v>
      </c>
      <c r="C460" s="1039" t="s">
        <v>24</v>
      </c>
      <c r="D460" s="1002" t="s">
        <v>789</v>
      </c>
      <c r="E460" s="413" t="s">
        <v>92</v>
      </c>
      <c r="F460" s="414">
        <v>0.9</v>
      </c>
      <c r="G460" s="414">
        <f>'Material price'!D39</f>
        <v>13.01</v>
      </c>
      <c r="H460" s="1059">
        <f>F460*G460</f>
        <v>11.709</v>
      </c>
      <c r="I460" s="1002" t="s">
        <v>790</v>
      </c>
      <c r="J460" s="412">
        <v>1</v>
      </c>
      <c r="K460" s="414">
        <v>1</v>
      </c>
      <c r="L460" s="414">
        <f>'Labour Cost'!F10</f>
        <v>31.499999999999996</v>
      </c>
      <c r="M460" s="414">
        <v>0.3</v>
      </c>
      <c r="N460" s="1090">
        <f>J460*K460*L460/M460</f>
        <v>104.99999999999999</v>
      </c>
      <c r="O460" s="1002"/>
      <c r="P460" s="412"/>
      <c r="Q460" s="412"/>
      <c r="R460" s="412"/>
      <c r="S460" s="412"/>
      <c r="T460" s="514"/>
      <c r="U460" s="507"/>
      <c r="V460" s="694"/>
    </row>
    <row r="461" spans="1:22" ht="12.75">
      <c r="A461" s="1002"/>
      <c r="B461" s="546"/>
      <c r="C461" s="1039"/>
      <c r="D461" s="1002" t="s">
        <v>791</v>
      </c>
      <c r="E461" s="413" t="s">
        <v>3099</v>
      </c>
      <c r="F461" s="414">
        <v>0.1</v>
      </c>
      <c r="G461" s="414">
        <f>'Material price'!D96</f>
        <v>20.35</v>
      </c>
      <c r="H461" s="1059">
        <f>F461*G461</f>
        <v>2.035</v>
      </c>
      <c r="I461" s="1002" t="s">
        <v>792</v>
      </c>
      <c r="J461" s="412">
        <v>1</v>
      </c>
      <c r="K461" s="414">
        <v>1</v>
      </c>
      <c r="L461" s="414">
        <f>'Labour Cost'!F11</f>
        <v>26.25</v>
      </c>
      <c r="M461" s="414">
        <v>0.3</v>
      </c>
      <c r="N461" s="1090">
        <f>J461*K461*L461/M461</f>
        <v>87.5</v>
      </c>
      <c r="O461" s="1002"/>
      <c r="P461" s="412"/>
      <c r="Q461" s="412"/>
      <c r="R461" s="412"/>
      <c r="S461" s="412"/>
      <c r="T461" s="514"/>
      <c r="U461" s="507"/>
      <c r="V461" s="694"/>
    </row>
    <row r="462" spans="1:22" ht="12.75">
      <c r="A462" s="1002"/>
      <c r="B462" s="546"/>
      <c r="C462" s="1039"/>
      <c r="D462" s="1002" t="s">
        <v>793</v>
      </c>
      <c r="E462" s="413" t="s">
        <v>92</v>
      </c>
      <c r="F462" s="414">
        <v>4</v>
      </c>
      <c r="G462" s="414">
        <v>6</v>
      </c>
      <c r="H462" s="1059">
        <f>F462*G462</f>
        <v>24</v>
      </c>
      <c r="I462" s="1002" t="s">
        <v>1168</v>
      </c>
      <c r="J462" s="412">
        <v>2</v>
      </c>
      <c r="K462" s="414">
        <v>1</v>
      </c>
      <c r="L462" s="414">
        <f>'Labour Cost'!F21</f>
        <v>8.75</v>
      </c>
      <c r="M462" s="414">
        <v>0.3</v>
      </c>
      <c r="N462" s="1090">
        <f>J462*K462*L462/M462</f>
        <v>58.333333333333336</v>
      </c>
      <c r="O462" s="1002"/>
      <c r="P462" s="412"/>
      <c r="Q462" s="412"/>
      <c r="R462" s="412"/>
      <c r="S462" s="412"/>
      <c r="T462" s="514"/>
      <c r="U462" s="507"/>
      <c r="V462" s="694"/>
    </row>
    <row r="463" spans="1:22" ht="12.75">
      <c r="A463" s="1004"/>
      <c r="B463" s="548"/>
      <c r="C463" s="1040"/>
      <c r="D463" s="1004"/>
      <c r="E463" s="521"/>
      <c r="F463" s="520"/>
      <c r="G463" s="522"/>
      <c r="H463" s="1005">
        <f>SUM(H459:H462)</f>
        <v>212.5375</v>
      </c>
      <c r="I463" s="1004"/>
      <c r="J463" s="520"/>
      <c r="K463" s="522"/>
      <c r="L463" s="520"/>
      <c r="M463" s="520"/>
      <c r="N463" s="1005">
        <f>SUM(N459:N462)</f>
        <v>268.1780215010684</v>
      </c>
      <c r="O463" s="1004"/>
      <c r="P463" s="520"/>
      <c r="Q463" s="520"/>
      <c r="R463" s="520"/>
      <c r="S463" s="520"/>
      <c r="T463" s="522">
        <f>SUM(T459:T462)</f>
        <v>2.1333333333333333</v>
      </c>
      <c r="U463" s="522">
        <f>T463+N463+H463</f>
        <v>482.84885483440166</v>
      </c>
      <c r="V463" s="1005">
        <f>U463*$U$4</f>
        <v>651.0466218897067</v>
      </c>
    </row>
    <row r="464" spans="1:22" ht="12.75">
      <c r="A464" s="1002"/>
      <c r="B464" s="546"/>
      <c r="C464" s="1039"/>
      <c r="D464" s="1002"/>
      <c r="E464" s="413"/>
      <c r="F464" s="412"/>
      <c r="G464" s="414"/>
      <c r="H464" s="1057"/>
      <c r="I464" s="1002"/>
      <c r="J464" s="412"/>
      <c r="K464" s="414"/>
      <c r="L464" s="412"/>
      <c r="M464" s="412"/>
      <c r="N464" s="1091"/>
      <c r="O464" s="1002"/>
      <c r="P464" s="412"/>
      <c r="Q464" s="412"/>
      <c r="R464" s="412"/>
      <c r="S464" s="412"/>
      <c r="T464" s="514"/>
      <c r="U464" s="507"/>
      <c r="V464" s="694"/>
    </row>
    <row r="465" spans="1:22" ht="12.75">
      <c r="A465" s="1002">
        <v>75</v>
      </c>
      <c r="B465" s="546" t="s">
        <v>3265</v>
      </c>
      <c r="C465" s="1039" t="s">
        <v>24</v>
      </c>
      <c r="D465" s="1002" t="s">
        <v>1000</v>
      </c>
      <c r="E465" s="413" t="s">
        <v>24</v>
      </c>
      <c r="F465" s="414">
        <v>1.05</v>
      </c>
      <c r="G465" s="414">
        <v>14.75</v>
      </c>
      <c r="H465" s="1059">
        <f>F465*G465</f>
        <v>15.4875</v>
      </c>
      <c r="I465" s="1002" t="s">
        <v>788</v>
      </c>
      <c r="J465" s="412">
        <v>1</v>
      </c>
      <c r="K465" s="414">
        <v>0.25</v>
      </c>
      <c r="L465" s="414">
        <f>L459</f>
        <v>20.81362580128205</v>
      </c>
      <c r="M465" s="414">
        <v>0.75</v>
      </c>
      <c r="N465" s="1090">
        <f>J465*K465*L465/M465</f>
        <v>6.937875267094017</v>
      </c>
      <c r="O465" s="1002" t="s">
        <v>277</v>
      </c>
      <c r="P465" s="412">
        <v>2</v>
      </c>
      <c r="Q465" s="412">
        <v>1</v>
      </c>
      <c r="R465" s="412">
        <f>R10</f>
        <v>0.32</v>
      </c>
      <c r="S465" s="412">
        <v>0.75</v>
      </c>
      <c r="T465" s="515">
        <f>P465*R465/S465</f>
        <v>0.8533333333333334</v>
      </c>
      <c r="U465" s="507"/>
      <c r="V465" s="694"/>
    </row>
    <row r="466" spans="1:22" ht="12.75">
      <c r="A466" s="1002"/>
      <c r="B466" s="546"/>
      <c r="C466" s="1039"/>
      <c r="D466" s="1002" t="s">
        <v>789</v>
      </c>
      <c r="E466" s="413" t="s">
        <v>92</v>
      </c>
      <c r="F466" s="414">
        <v>0.9</v>
      </c>
      <c r="G466" s="414">
        <f>'Material price'!D39</f>
        <v>13.01</v>
      </c>
      <c r="H466" s="1059">
        <f>F466*G466</f>
        <v>11.709</v>
      </c>
      <c r="I466" s="1002" t="s">
        <v>790</v>
      </c>
      <c r="J466" s="412">
        <v>1</v>
      </c>
      <c r="K466" s="414">
        <v>1</v>
      </c>
      <c r="L466" s="414">
        <f>L460</f>
        <v>31.499999999999996</v>
      </c>
      <c r="M466" s="414">
        <v>0.75</v>
      </c>
      <c r="N466" s="1090">
        <f>J466*K466*L466/M466</f>
        <v>41.99999999999999</v>
      </c>
      <c r="O466" s="1002"/>
      <c r="P466" s="412"/>
      <c r="Q466" s="412"/>
      <c r="R466" s="412"/>
      <c r="S466" s="412"/>
      <c r="T466" s="514"/>
      <c r="U466" s="507"/>
      <c r="V466" s="694"/>
    </row>
    <row r="467" spans="1:22" ht="12.75">
      <c r="A467" s="1002"/>
      <c r="B467" s="546"/>
      <c r="C467" s="1039"/>
      <c r="D467" s="1002" t="s">
        <v>791</v>
      </c>
      <c r="E467" s="413" t="s">
        <v>3099</v>
      </c>
      <c r="F467" s="414">
        <v>0.1</v>
      </c>
      <c r="G467" s="414">
        <f>G461</f>
        <v>20.35</v>
      </c>
      <c r="H467" s="1059">
        <f>F467*G467</f>
        <v>2.035</v>
      </c>
      <c r="I467" s="1002" t="s">
        <v>792</v>
      </c>
      <c r="J467" s="412">
        <v>1</v>
      </c>
      <c r="K467" s="414">
        <v>1</v>
      </c>
      <c r="L467" s="414">
        <f>L461</f>
        <v>26.25</v>
      </c>
      <c r="M467" s="414">
        <v>0.75</v>
      </c>
      <c r="N467" s="1090">
        <f>J467*K467*L467/M467</f>
        <v>35</v>
      </c>
      <c r="O467" s="1002"/>
      <c r="P467" s="412"/>
      <c r="Q467" s="412"/>
      <c r="R467" s="412"/>
      <c r="S467" s="412"/>
      <c r="T467" s="514"/>
      <c r="U467" s="507"/>
      <c r="V467" s="694"/>
    </row>
    <row r="468" spans="1:22" ht="12.75">
      <c r="A468" s="1002"/>
      <c r="B468" s="546"/>
      <c r="C468" s="1039"/>
      <c r="D468" s="1002" t="s">
        <v>793</v>
      </c>
      <c r="E468" s="413" t="s">
        <v>92</v>
      </c>
      <c r="F468" s="414">
        <v>4</v>
      </c>
      <c r="G468" s="414">
        <v>6</v>
      </c>
      <c r="H468" s="1059">
        <f>F468*G468</f>
        <v>24</v>
      </c>
      <c r="I468" s="1002" t="s">
        <v>1168</v>
      </c>
      <c r="J468" s="412">
        <v>2</v>
      </c>
      <c r="K468" s="414">
        <v>1</v>
      </c>
      <c r="L468" s="414">
        <f>L462</f>
        <v>8.75</v>
      </c>
      <c r="M468" s="414">
        <v>0.75</v>
      </c>
      <c r="N468" s="1090">
        <f>J468*K468*L468/M468</f>
        <v>23.333333333333332</v>
      </c>
      <c r="O468" s="1002"/>
      <c r="P468" s="412"/>
      <c r="Q468" s="412"/>
      <c r="R468" s="412"/>
      <c r="S468" s="412"/>
      <c r="T468" s="514"/>
      <c r="U468" s="507"/>
      <c r="V468" s="694"/>
    </row>
    <row r="469" spans="1:22" ht="12.75">
      <c r="A469" s="1004"/>
      <c r="B469" s="548"/>
      <c r="C469" s="1040"/>
      <c r="D469" s="1004"/>
      <c r="E469" s="521"/>
      <c r="F469" s="520"/>
      <c r="G469" s="522"/>
      <c r="H469" s="1005">
        <f>SUM(H465:H468)</f>
        <v>53.2315</v>
      </c>
      <c r="I469" s="1004"/>
      <c r="J469" s="520"/>
      <c r="K469" s="522"/>
      <c r="L469" s="520"/>
      <c r="M469" s="520"/>
      <c r="N469" s="1005">
        <f>SUM(N465:N468)</f>
        <v>107.27120860042733</v>
      </c>
      <c r="O469" s="1004"/>
      <c r="P469" s="520"/>
      <c r="Q469" s="520"/>
      <c r="R469" s="520"/>
      <c r="S469" s="520"/>
      <c r="T469" s="522">
        <f>SUM(T465:T468)</f>
        <v>0.8533333333333334</v>
      </c>
      <c r="U469" s="522">
        <f>T469+N469+H469</f>
        <v>161.35604193376065</v>
      </c>
      <c r="V469" s="1005">
        <f>U469*$U$4</f>
        <v>217.56353975095763</v>
      </c>
    </row>
    <row r="470" spans="1:22" ht="12.75">
      <c r="A470" s="1002"/>
      <c r="B470" s="546"/>
      <c r="C470" s="1039"/>
      <c r="D470" s="1002"/>
      <c r="E470" s="413"/>
      <c r="F470" s="412"/>
      <c r="G470" s="414"/>
      <c r="H470" s="1057"/>
      <c r="I470" s="1002"/>
      <c r="J470" s="412"/>
      <c r="K470" s="414"/>
      <c r="L470" s="412"/>
      <c r="M470" s="412"/>
      <c r="N470" s="1091"/>
      <c r="O470" s="1002"/>
      <c r="P470" s="412"/>
      <c r="Q470" s="412"/>
      <c r="R470" s="412"/>
      <c r="S470" s="412"/>
      <c r="T470" s="514"/>
      <c r="U470" s="507"/>
      <c r="V470" s="694"/>
    </row>
    <row r="471" spans="1:23" ht="12.75">
      <c r="A471" s="1002">
        <v>76</v>
      </c>
      <c r="B471" s="546" t="s">
        <v>794</v>
      </c>
      <c r="C471" s="1039"/>
      <c r="D471" s="1002" t="s">
        <v>1001</v>
      </c>
      <c r="E471" s="413" t="s">
        <v>24</v>
      </c>
      <c r="F471" s="414">
        <v>1</v>
      </c>
      <c r="G471" s="414">
        <f>V102*0.08</f>
        <v>188.03241688486378</v>
      </c>
      <c r="H471" s="1059">
        <f>F471*G471</f>
        <v>188.03241688486378</v>
      </c>
      <c r="I471" s="1002" t="s">
        <v>275</v>
      </c>
      <c r="J471" s="412">
        <v>1</v>
      </c>
      <c r="K471" s="414">
        <v>1</v>
      </c>
      <c r="L471" s="414">
        <f>L465</f>
        <v>20.81362580128205</v>
      </c>
      <c r="M471" s="414">
        <v>1</v>
      </c>
      <c r="N471" s="1090">
        <f>J471*K471*L471/M471</f>
        <v>20.81362580128205</v>
      </c>
      <c r="O471" s="1002" t="s">
        <v>277</v>
      </c>
      <c r="P471" s="412">
        <v>2</v>
      </c>
      <c r="Q471" s="412">
        <v>1</v>
      </c>
      <c r="R471" s="412">
        <f>R10</f>
        <v>0.32</v>
      </c>
      <c r="S471" s="414">
        <v>1</v>
      </c>
      <c r="T471" s="515">
        <f>P471*R471/S471</f>
        <v>0.64</v>
      </c>
      <c r="U471" s="507"/>
      <c r="V471" s="694"/>
      <c r="W471" s="1001"/>
    </row>
    <row r="472" spans="1:22" ht="12.75">
      <c r="A472" s="1002"/>
      <c r="B472" s="546" t="s">
        <v>795</v>
      </c>
      <c r="C472" s="1039" t="s">
        <v>24</v>
      </c>
      <c r="D472" s="1002" t="s">
        <v>2365</v>
      </c>
      <c r="E472" s="413" t="s">
        <v>25</v>
      </c>
      <c r="F472" s="414">
        <v>0.1</v>
      </c>
      <c r="G472" s="414">
        <f>'[1]Material price'!D47</f>
        <v>65</v>
      </c>
      <c r="H472" s="1059">
        <f>F472*G472</f>
        <v>6.5</v>
      </c>
      <c r="I472" s="1002" t="s">
        <v>1174</v>
      </c>
      <c r="J472" s="412">
        <v>1</v>
      </c>
      <c r="K472" s="414">
        <v>1</v>
      </c>
      <c r="L472" s="414">
        <f>'Labour Cost'!F8</f>
        <v>31.499999999999996</v>
      </c>
      <c r="M472" s="414">
        <v>1</v>
      </c>
      <c r="N472" s="1090">
        <f>J472*K472*L472/M472</f>
        <v>31.499999999999996</v>
      </c>
      <c r="O472" s="1002"/>
      <c r="P472" s="412"/>
      <c r="Q472" s="412"/>
      <c r="R472" s="412"/>
      <c r="S472" s="412"/>
      <c r="T472" s="514"/>
      <c r="U472" s="507"/>
      <c r="V472" s="694"/>
    </row>
    <row r="473" spans="1:22" ht="12.75">
      <c r="A473" s="1002"/>
      <c r="B473" s="546"/>
      <c r="C473" s="1039"/>
      <c r="D473" s="1002" t="s">
        <v>1002</v>
      </c>
      <c r="E473" s="413" t="s">
        <v>25</v>
      </c>
      <c r="F473" s="414">
        <v>0.15</v>
      </c>
      <c r="G473" s="414">
        <f>'Material price'!D12</f>
        <v>25</v>
      </c>
      <c r="H473" s="1059">
        <f>F473*G473</f>
        <v>3.75</v>
      </c>
      <c r="I473" s="1002" t="s">
        <v>2414</v>
      </c>
      <c r="J473" s="412">
        <v>2</v>
      </c>
      <c r="K473" s="414">
        <v>1</v>
      </c>
      <c r="L473" s="414">
        <f>'Labour Cost'!F21</f>
        <v>8.75</v>
      </c>
      <c r="M473" s="414">
        <v>1</v>
      </c>
      <c r="N473" s="1090">
        <f>J473*K473*L473/M473</f>
        <v>17.5</v>
      </c>
      <c r="O473" s="1002"/>
      <c r="P473" s="412"/>
      <c r="Q473" s="412"/>
      <c r="R473" s="412"/>
      <c r="S473" s="412"/>
      <c r="T473" s="514"/>
      <c r="U473" s="507"/>
      <c r="V473" s="694"/>
    </row>
    <row r="474" spans="1:22" ht="12.75">
      <c r="A474" s="1004"/>
      <c r="B474" s="548"/>
      <c r="C474" s="1040"/>
      <c r="D474" s="1004"/>
      <c r="E474" s="521"/>
      <c r="F474" s="520"/>
      <c r="G474" s="522"/>
      <c r="H474" s="1005">
        <f>SUM(H471:H473)</f>
        <v>198.28241688486378</v>
      </c>
      <c r="I474" s="1004"/>
      <c r="J474" s="520"/>
      <c r="K474" s="522"/>
      <c r="L474" s="520"/>
      <c r="M474" s="520"/>
      <c r="N474" s="1005">
        <f>SUM(N471:N473)</f>
        <v>69.81362580128204</v>
      </c>
      <c r="O474" s="1004"/>
      <c r="P474" s="520"/>
      <c r="Q474" s="520"/>
      <c r="R474" s="520"/>
      <c r="S474" s="520"/>
      <c r="T474" s="522">
        <f>SUM(T471:T473)</f>
        <v>0.64</v>
      </c>
      <c r="U474" s="522">
        <f>T474+N474+H474</f>
        <v>268.7360426861458</v>
      </c>
      <c r="V474" s="1005">
        <f>U474*$U$4</f>
        <v>362.3487785444321</v>
      </c>
    </row>
    <row r="475" spans="1:22" ht="22.5" customHeight="1">
      <c r="A475" s="1002"/>
      <c r="B475" s="1320" t="s">
        <v>796</v>
      </c>
      <c r="C475" s="1327"/>
      <c r="D475" s="1060"/>
      <c r="E475" s="1042"/>
      <c r="F475" s="1043"/>
      <c r="G475" s="414"/>
      <c r="H475" s="1057"/>
      <c r="I475" s="1002"/>
      <c r="J475" s="412"/>
      <c r="K475" s="414"/>
      <c r="L475" s="412"/>
      <c r="M475" s="412"/>
      <c r="N475" s="1091"/>
      <c r="O475" s="1002"/>
      <c r="P475" s="412"/>
      <c r="Q475" s="412"/>
      <c r="R475" s="412"/>
      <c r="S475" s="412"/>
      <c r="T475" s="514"/>
      <c r="U475" s="507"/>
      <c r="V475" s="694"/>
    </row>
    <row r="476" spans="1:22" ht="12.75">
      <c r="A476" s="1002"/>
      <c r="B476" s="412"/>
      <c r="C476" s="1039"/>
      <c r="D476" s="1002"/>
      <c r="E476" s="413"/>
      <c r="F476" s="412"/>
      <c r="G476" s="414"/>
      <c r="H476" s="1057"/>
      <c r="I476" s="1002"/>
      <c r="J476" s="412"/>
      <c r="K476" s="414"/>
      <c r="L476" s="412"/>
      <c r="M476" s="412"/>
      <c r="N476" s="1091"/>
      <c r="O476" s="1002"/>
      <c r="P476" s="412"/>
      <c r="Q476" s="412"/>
      <c r="R476" s="412"/>
      <c r="S476" s="412"/>
      <c r="T476" s="514"/>
      <c r="U476" s="507"/>
      <c r="V476" s="694"/>
    </row>
    <row r="477" spans="1:22" ht="12.75">
      <c r="A477" s="1002">
        <v>77</v>
      </c>
      <c r="B477" s="546" t="s">
        <v>3266</v>
      </c>
      <c r="C477" s="1039"/>
      <c r="D477" s="1002" t="s">
        <v>797</v>
      </c>
      <c r="E477" s="413" t="s">
        <v>24</v>
      </c>
      <c r="F477" s="414">
        <v>1.1</v>
      </c>
      <c r="G477" s="414">
        <f>'Material price'!D199</f>
        <v>102.61</v>
      </c>
      <c r="H477" s="1059">
        <f>F477*G477</f>
        <v>112.87100000000001</v>
      </c>
      <c r="I477" s="1002" t="s">
        <v>275</v>
      </c>
      <c r="J477" s="412">
        <v>1</v>
      </c>
      <c r="K477" s="414">
        <v>0.2</v>
      </c>
      <c r="L477" s="415">
        <f>'Labour Cost'!F7</f>
        <v>20.81362580128205</v>
      </c>
      <c r="M477" s="414">
        <v>1.25</v>
      </c>
      <c r="N477" s="1090">
        <f>J477*K477*L477/M477</f>
        <v>3.3301801282051278</v>
      </c>
      <c r="O477" s="1002" t="s">
        <v>277</v>
      </c>
      <c r="P477" s="412">
        <v>2</v>
      </c>
      <c r="Q477" s="412">
        <v>1</v>
      </c>
      <c r="R477" s="412">
        <f>R10</f>
        <v>0.32</v>
      </c>
      <c r="S477" s="412">
        <v>1.25</v>
      </c>
      <c r="T477" s="515">
        <f>P477*R477/S477</f>
        <v>0.512</v>
      </c>
      <c r="U477" s="507"/>
      <c r="V477" s="694"/>
    </row>
    <row r="478" spans="1:22" ht="12.75">
      <c r="A478" s="1002"/>
      <c r="B478" s="546" t="s">
        <v>3267</v>
      </c>
      <c r="C478" s="1039" t="s">
        <v>24</v>
      </c>
      <c r="D478" s="1002" t="s">
        <v>799</v>
      </c>
      <c r="E478" s="413" t="s">
        <v>3099</v>
      </c>
      <c r="F478" s="414">
        <v>0.4</v>
      </c>
      <c r="G478" s="414">
        <f>'Material price'!D201</f>
        <v>8.95</v>
      </c>
      <c r="H478" s="1059">
        <f>F478*G478</f>
        <v>3.58</v>
      </c>
      <c r="I478" s="1002" t="s">
        <v>2424</v>
      </c>
      <c r="J478" s="412">
        <v>1</v>
      </c>
      <c r="K478" s="414">
        <v>1</v>
      </c>
      <c r="L478" s="415">
        <f>'Labour Cost'!F21</f>
        <v>8.75</v>
      </c>
      <c r="M478" s="414">
        <v>1.25</v>
      </c>
      <c r="N478" s="1090">
        <f>J478*K478*L478/M478</f>
        <v>7</v>
      </c>
      <c r="O478" s="1002"/>
      <c r="P478" s="412"/>
      <c r="Q478" s="412"/>
      <c r="R478" s="412"/>
      <c r="S478" s="412"/>
      <c r="T478" s="514"/>
      <c r="U478" s="507"/>
      <c r="V478" s="694"/>
    </row>
    <row r="479" spans="1:22" ht="12.75">
      <c r="A479" s="1002"/>
      <c r="B479" s="546"/>
      <c r="C479" s="1039"/>
      <c r="D479" s="1002"/>
      <c r="E479" s="413"/>
      <c r="F479" s="412"/>
      <c r="G479" s="414"/>
      <c r="H479" s="1059"/>
      <c r="I479" s="1002" t="s">
        <v>798</v>
      </c>
      <c r="J479" s="412">
        <v>1</v>
      </c>
      <c r="K479" s="414">
        <v>1</v>
      </c>
      <c r="L479" s="414">
        <f>'Labour Cost'!F19</f>
        <v>21</v>
      </c>
      <c r="M479" s="414">
        <v>1.25</v>
      </c>
      <c r="N479" s="1090">
        <f>J479*K479*L479/M479</f>
        <v>16.8</v>
      </c>
      <c r="O479" s="1002"/>
      <c r="P479" s="412"/>
      <c r="Q479" s="412"/>
      <c r="R479" s="412"/>
      <c r="S479" s="412"/>
      <c r="T479" s="514"/>
      <c r="U479" s="507"/>
      <c r="V479" s="694"/>
    </row>
    <row r="480" spans="1:22" ht="12.75">
      <c r="A480" s="1004"/>
      <c r="B480" s="548"/>
      <c r="C480" s="1040"/>
      <c r="D480" s="1004"/>
      <c r="E480" s="521"/>
      <c r="F480" s="520"/>
      <c r="G480" s="522"/>
      <c r="H480" s="1005">
        <f>SUM(H477:H479)</f>
        <v>116.45100000000001</v>
      </c>
      <c r="I480" s="1004"/>
      <c r="J480" s="520"/>
      <c r="K480" s="522"/>
      <c r="L480" s="520"/>
      <c r="M480" s="520"/>
      <c r="N480" s="1005">
        <f>SUM(N477:N479)</f>
        <v>27.13018012820513</v>
      </c>
      <c r="O480" s="1004"/>
      <c r="P480" s="520"/>
      <c r="Q480" s="520"/>
      <c r="R480" s="520"/>
      <c r="S480" s="520"/>
      <c r="T480" s="522">
        <f>SUM(T477:T479)</f>
        <v>0.512</v>
      </c>
      <c r="U480" s="522">
        <f>T480+N480+H480</f>
        <v>144.09318012820515</v>
      </c>
      <c r="V480" s="1005">
        <f>U480*$U$4</f>
        <v>194.2872541180337</v>
      </c>
    </row>
    <row r="481" spans="1:22" ht="12.75">
      <c r="A481" s="1002"/>
      <c r="B481" s="546"/>
      <c r="C481" s="1039"/>
      <c r="D481" s="1002"/>
      <c r="E481" s="413"/>
      <c r="F481" s="412"/>
      <c r="G481" s="414"/>
      <c r="H481" s="1074"/>
      <c r="I481" s="1002"/>
      <c r="J481" s="412"/>
      <c r="K481" s="414"/>
      <c r="L481" s="412"/>
      <c r="M481" s="412"/>
      <c r="N481" s="1091"/>
      <c r="O481" s="1002"/>
      <c r="P481" s="412"/>
      <c r="Q481" s="412"/>
      <c r="R481" s="412"/>
      <c r="S481" s="412"/>
      <c r="T481" s="514"/>
      <c r="U481" s="507"/>
      <c r="V481" s="694"/>
    </row>
    <row r="482" spans="1:22" ht="12.75">
      <c r="A482" s="1002">
        <v>78</v>
      </c>
      <c r="B482" s="546" t="s">
        <v>3268</v>
      </c>
      <c r="C482" s="1039"/>
      <c r="D482" s="1002" t="s">
        <v>797</v>
      </c>
      <c r="E482" s="413"/>
      <c r="F482" s="414">
        <v>1.1</v>
      </c>
      <c r="G482" s="414">
        <f>'Material price'!D200</f>
        <v>107.1</v>
      </c>
      <c r="H482" s="1059">
        <f>F482*G482</f>
        <v>117.81</v>
      </c>
      <c r="I482" s="1002" t="s">
        <v>275</v>
      </c>
      <c r="J482" s="412">
        <v>1</v>
      </c>
      <c r="K482" s="414">
        <v>0.2</v>
      </c>
      <c r="L482" s="499">
        <f>L477</f>
        <v>20.81362580128205</v>
      </c>
      <c r="M482" s="412">
        <v>1.25</v>
      </c>
      <c r="N482" s="1090">
        <f>J482*K482*L482/M482</f>
        <v>3.3301801282051278</v>
      </c>
      <c r="O482" s="1002" t="s">
        <v>277</v>
      </c>
      <c r="P482" s="412">
        <v>2</v>
      </c>
      <c r="Q482" s="412">
        <v>1</v>
      </c>
      <c r="R482" s="412">
        <f>R10</f>
        <v>0.32</v>
      </c>
      <c r="S482" s="412">
        <v>1.5</v>
      </c>
      <c r="T482" s="515">
        <f>P482*R482/S482</f>
        <v>0.4266666666666667</v>
      </c>
      <c r="U482" s="507"/>
      <c r="V482" s="694"/>
    </row>
    <row r="483" spans="1:22" ht="12.75">
      <c r="A483" s="1002"/>
      <c r="B483" s="546" t="s">
        <v>3267</v>
      </c>
      <c r="C483" s="1039" t="s">
        <v>24</v>
      </c>
      <c r="D483" s="1002" t="s">
        <v>799</v>
      </c>
      <c r="E483" s="413" t="s">
        <v>3099</v>
      </c>
      <c r="F483" s="412">
        <v>0.4</v>
      </c>
      <c r="G483" s="414">
        <f>G478</f>
        <v>8.95</v>
      </c>
      <c r="H483" s="1059">
        <f>F483*G483</f>
        <v>3.58</v>
      </c>
      <c r="I483" s="1002" t="s">
        <v>2424</v>
      </c>
      <c r="J483" s="412">
        <v>1</v>
      </c>
      <c r="K483" s="414">
        <v>1</v>
      </c>
      <c r="L483" s="496">
        <f>L478</f>
        <v>8.75</v>
      </c>
      <c r="M483" s="412">
        <v>1.25</v>
      </c>
      <c r="N483" s="1090">
        <f>J483*K483*L483/M483</f>
        <v>7</v>
      </c>
      <c r="O483" s="1002"/>
      <c r="P483" s="412"/>
      <c r="Q483" s="412"/>
      <c r="R483" s="412"/>
      <c r="S483" s="412"/>
      <c r="T483" s="514"/>
      <c r="U483" s="507"/>
      <c r="V483" s="694"/>
    </row>
    <row r="484" spans="1:22" ht="12.75">
      <c r="A484" s="1002"/>
      <c r="B484" s="546"/>
      <c r="C484" s="1039"/>
      <c r="D484" s="1002"/>
      <c r="E484" s="413"/>
      <c r="F484" s="412"/>
      <c r="G484" s="414"/>
      <c r="H484" s="1074"/>
      <c r="I484" s="1002" t="s">
        <v>798</v>
      </c>
      <c r="J484" s="412">
        <v>1</v>
      </c>
      <c r="K484" s="414">
        <v>1</v>
      </c>
      <c r="L484" s="496">
        <f>'Labour Cost'!F18</f>
        <v>26.25</v>
      </c>
      <c r="M484" s="412">
        <v>1.25</v>
      </c>
      <c r="N484" s="1090">
        <f>J484*K484*L484/M484</f>
        <v>21</v>
      </c>
      <c r="O484" s="1002"/>
      <c r="P484" s="412"/>
      <c r="Q484" s="412"/>
      <c r="R484" s="412"/>
      <c r="S484" s="412"/>
      <c r="T484" s="514"/>
      <c r="U484" s="507"/>
      <c r="V484" s="694"/>
    </row>
    <row r="485" spans="1:22" ht="12.75">
      <c r="A485" s="1004"/>
      <c r="B485" s="548"/>
      <c r="C485" s="1040"/>
      <c r="D485" s="1004"/>
      <c r="E485" s="521"/>
      <c r="F485" s="520"/>
      <c r="G485" s="522"/>
      <c r="H485" s="1062">
        <f>SUM(H482:H484)</f>
        <v>121.39</v>
      </c>
      <c r="I485" s="1004"/>
      <c r="J485" s="520"/>
      <c r="K485" s="522"/>
      <c r="L485" s="520"/>
      <c r="M485" s="520"/>
      <c r="N485" s="1005">
        <f>SUM(N482:N484)</f>
        <v>31.33018012820513</v>
      </c>
      <c r="O485" s="1004"/>
      <c r="P485" s="520"/>
      <c r="Q485" s="520"/>
      <c r="R485" s="520"/>
      <c r="S485" s="520"/>
      <c r="T485" s="522">
        <f>SUM(T482:T484)</f>
        <v>0.4266666666666667</v>
      </c>
      <c r="U485" s="522">
        <f>T485+N485+H485</f>
        <v>153.1468467948718</v>
      </c>
      <c r="V485" s="1005">
        <f>U485*$U$4</f>
        <v>206.49471622555038</v>
      </c>
    </row>
    <row r="486" spans="1:22" ht="12.75">
      <c r="A486" s="1002"/>
      <c r="B486" s="546"/>
      <c r="C486" s="1039"/>
      <c r="D486" s="1002"/>
      <c r="E486" s="413"/>
      <c r="F486" s="412"/>
      <c r="G486" s="414"/>
      <c r="H486" s="1074"/>
      <c r="I486" s="1002"/>
      <c r="J486" s="412"/>
      <c r="K486" s="414"/>
      <c r="L486" s="412"/>
      <c r="M486" s="412"/>
      <c r="N486" s="1091"/>
      <c r="O486" s="1002"/>
      <c r="P486" s="412"/>
      <c r="Q486" s="412"/>
      <c r="R486" s="412"/>
      <c r="S486" s="412"/>
      <c r="T486" s="514"/>
      <c r="U486" s="507"/>
      <c r="V486" s="694"/>
    </row>
    <row r="487" spans="1:22" ht="12.75">
      <c r="A487" s="1002">
        <v>79</v>
      </c>
      <c r="B487" s="546" t="s">
        <v>3269</v>
      </c>
      <c r="C487" s="1039"/>
      <c r="D487" s="1002" t="s">
        <v>797</v>
      </c>
      <c r="E487" s="413" t="s">
        <v>24</v>
      </c>
      <c r="F487" s="414">
        <v>1.1</v>
      </c>
      <c r="G487" s="414">
        <f>'Material price'!D202</f>
        <v>147.83</v>
      </c>
      <c r="H487" s="1074">
        <f>F487*G487</f>
        <v>162.61300000000003</v>
      </c>
      <c r="I487" s="1002" t="s">
        <v>275</v>
      </c>
      <c r="J487" s="412">
        <v>1</v>
      </c>
      <c r="K487" s="414">
        <v>0.2</v>
      </c>
      <c r="L487" s="414">
        <f>L482</f>
        <v>20.81362580128205</v>
      </c>
      <c r="M487" s="414">
        <v>1</v>
      </c>
      <c r="N487" s="1090">
        <f>J487*K487*L487/M487</f>
        <v>4.16272516025641</v>
      </c>
      <c r="O487" s="1002" t="s">
        <v>277</v>
      </c>
      <c r="P487" s="412">
        <v>2</v>
      </c>
      <c r="Q487" s="412">
        <v>1</v>
      </c>
      <c r="R487" s="412">
        <f>R10</f>
        <v>0.32</v>
      </c>
      <c r="S487" s="414">
        <v>1</v>
      </c>
      <c r="T487" s="515">
        <f>P487*R487/S487</f>
        <v>0.64</v>
      </c>
      <c r="U487" s="507"/>
      <c r="V487" s="694"/>
    </row>
    <row r="488" spans="1:22" ht="12.75">
      <c r="A488" s="1002"/>
      <c r="B488" s="546" t="s">
        <v>3267</v>
      </c>
      <c r="C488" s="1039" t="s">
        <v>24</v>
      </c>
      <c r="D488" s="1002" t="s">
        <v>799</v>
      </c>
      <c r="E488" s="413" t="s">
        <v>3099</v>
      </c>
      <c r="F488" s="414">
        <v>0.4</v>
      </c>
      <c r="G488" s="414">
        <f>G483</f>
        <v>8.95</v>
      </c>
      <c r="H488" s="1074">
        <f>F488*G488</f>
        <v>3.58</v>
      </c>
      <c r="I488" s="1002" t="s">
        <v>2424</v>
      </c>
      <c r="J488" s="412">
        <v>1</v>
      </c>
      <c r="K488" s="414">
        <v>1</v>
      </c>
      <c r="L488" s="415">
        <f>L483</f>
        <v>8.75</v>
      </c>
      <c r="M488" s="414">
        <v>1</v>
      </c>
      <c r="N488" s="1090">
        <f>J488*K488*L488/M488</f>
        <v>8.75</v>
      </c>
      <c r="O488" s="1002"/>
      <c r="P488" s="412"/>
      <c r="Q488" s="412"/>
      <c r="R488" s="412"/>
      <c r="S488" s="412"/>
      <c r="T488" s="514"/>
      <c r="U488" s="507"/>
      <c r="V488" s="694"/>
    </row>
    <row r="489" spans="1:22" ht="12.75">
      <c r="A489" s="1002"/>
      <c r="B489" s="546"/>
      <c r="C489" s="1039"/>
      <c r="D489" s="1002"/>
      <c r="E489" s="413"/>
      <c r="F489" s="412"/>
      <c r="G489" s="414"/>
      <c r="H489" s="1057"/>
      <c r="I489" s="1002" t="s">
        <v>798</v>
      </c>
      <c r="J489" s="412">
        <v>1</v>
      </c>
      <c r="K489" s="414">
        <v>1</v>
      </c>
      <c r="L489" s="415">
        <f>L484</f>
        <v>26.25</v>
      </c>
      <c r="M489" s="414">
        <v>1</v>
      </c>
      <c r="N489" s="1090">
        <f>J489*K489*L489/M489</f>
        <v>26.25</v>
      </c>
      <c r="O489" s="1002"/>
      <c r="P489" s="412"/>
      <c r="Q489" s="412"/>
      <c r="R489" s="412"/>
      <c r="S489" s="412"/>
      <c r="T489" s="514"/>
      <c r="U489" s="507"/>
      <c r="V489" s="694"/>
    </row>
    <row r="490" spans="1:22" ht="12.75">
      <c r="A490" s="1004"/>
      <c r="B490" s="548"/>
      <c r="C490" s="1040"/>
      <c r="D490" s="1004"/>
      <c r="E490" s="521"/>
      <c r="F490" s="520"/>
      <c r="G490" s="522"/>
      <c r="H490" s="1062">
        <f>SUM(H487:H489)</f>
        <v>166.19300000000004</v>
      </c>
      <c r="I490" s="1004"/>
      <c r="J490" s="520"/>
      <c r="K490" s="522"/>
      <c r="L490" s="520"/>
      <c r="M490" s="520"/>
      <c r="N490" s="1005">
        <f>SUM(N487:N489)</f>
        <v>39.162725160256414</v>
      </c>
      <c r="O490" s="1004"/>
      <c r="P490" s="520"/>
      <c r="Q490" s="520"/>
      <c r="R490" s="520"/>
      <c r="S490" s="520"/>
      <c r="T490" s="522">
        <f>SUM(T487:T489)</f>
        <v>0.64</v>
      </c>
      <c r="U490" s="522">
        <f>T490+N490+H490</f>
        <v>205.99572516025646</v>
      </c>
      <c r="V490" s="1005">
        <f>U490*$U$4</f>
        <v>277.7532133431297</v>
      </c>
    </row>
    <row r="491" spans="1:22" ht="20.25" customHeight="1">
      <c r="A491" s="1002"/>
      <c r="B491" s="1320" t="s">
        <v>1397</v>
      </c>
      <c r="C491" s="1327"/>
      <c r="D491" s="1060"/>
      <c r="E491" s="1044"/>
      <c r="F491" s="1043"/>
      <c r="G491" s="414"/>
      <c r="H491" s="1057"/>
      <c r="I491" s="1002"/>
      <c r="J491" s="412"/>
      <c r="K491" s="414"/>
      <c r="L491" s="412"/>
      <c r="M491" s="412"/>
      <c r="N491" s="1091"/>
      <c r="O491" s="1002"/>
      <c r="P491" s="412"/>
      <c r="Q491" s="412"/>
      <c r="R491" s="412"/>
      <c r="S491" s="412"/>
      <c r="T491" s="514"/>
      <c r="U491" s="507"/>
      <c r="V491" s="694"/>
    </row>
    <row r="492" spans="1:22" ht="12.75">
      <c r="A492" s="1002">
        <v>80</v>
      </c>
      <c r="B492" s="546" t="s">
        <v>3270</v>
      </c>
      <c r="C492" s="1039"/>
      <c r="D492" s="1002" t="s">
        <v>800</v>
      </c>
      <c r="E492" s="413" t="s">
        <v>2359</v>
      </c>
      <c r="F492" s="414">
        <v>0.1</v>
      </c>
      <c r="G492" s="414">
        <f>'Material price'!D128</f>
        <v>112.42</v>
      </c>
      <c r="H492" s="1059">
        <f>F492*G492</f>
        <v>11.242</v>
      </c>
      <c r="I492" s="1002" t="s">
        <v>275</v>
      </c>
      <c r="J492" s="412">
        <v>1</v>
      </c>
      <c r="K492" s="414">
        <v>0.2</v>
      </c>
      <c r="L492" s="414">
        <f>L482</f>
        <v>20.81362580128205</v>
      </c>
      <c r="M492" s="414">
        <v>1.75</v>
      </c>
      <c r="N492" s="1090">
        <f>J492*K492*L492/M492</f>
        <v>2.3787000915750913</v>
      </c>
      <c r="O492" s="1002" t="s">
        <v>277</v>
      </c>
      <c r="P492" s="412">
        <v>2</v>
      </c>
      <c r="Q492" s="412">
        <v>1</v>
      </c>
      <c r="R492" s="412">
        <f>R10</f>
        <v>0.32</v>
      </c>
      <c r="S492" s="414">
        <v>1.75</v>
      </c>
      <c r="T492" s="515">
        <f>P492*R492/S492</f>
        <v>0.3657142857142857</v>
      </c>
      <c r="U492" s="507"/>
      <c r="V492" s="694"/>
    </row>
    <row r="493" spans="1:22" ht="12.75">
      <c r="A493" s="1002"/>
      <c r="B493" s="546" t="s">
        <v>802</v>
      </c>
      <c r="C493" s="1039"/>
      <c r="D493" s="1002" t="s">
        <v>1004</v>
      </c>
      <c r="E493" s="413" t="s">
        <v>3099</v>
      </c>
      <c r="F493" s="414">
        <v>0.3</v>
      </c>
      <c r="G493" s="414">
        <v>3</v>
      </c>
      <c r="H493" s="1059">
        <f>F493*G493</f>
        <v>0.8999999999999999</v>
      </c>
      <c r="I493" s="1002" t="s">
        <v>2424</v>
      </c>
      <c r="J493" s="412">
        <v>2</v>
      </c>
      <c r="K493" s="414">
        <v>1</v>
      </c>
      <c r="L493" s="415">
        <f>L483</f>
        <v>8.75</v>
      </c>
      <c r="M493" s="414">
        <v>1.75</v>
      </c>
      <c r="N493" s="1090">
        <f>J493*K493*L493/M493</f>
        <v>10</v>
      </c>
      <c r="O493" s="1002"/>
      <c r="P493" s="412"/>
      <c r="Q493" s="412"/>
      <c r="R493" s="412"/>
      <c r="S493" s="412"/>
      <c r="T493" s="514"/>
      <c r="U493" s="507"/>
      <c r="V493" s="694"/>
    </row>
    <row r="494" spans="1:22" ht="12.75">
      <c r="A494" s="1002"/>
      <c r="B494" s="546" t="s">
        <v>800</v>
      </c>
      <c r="C494" s="1039" t="s">
        <v>24</v>
      </c>
      <c r="D494" s="1002"/>
      <c r="E494" s="413"/>
      <c r="F494" s="412"/>
      <c r="G494" s="414"/>
      <c r="H494" s="1057"/>
      <c r="I494" s="1002" t="s">
        <v>801</v>
      </c>
      <c r="J494" s="412">
        <v>1</v>
      </c>
      <c r="K494" s="414">
        <v>1</v>
      </c>
      <c r="L494" s="415">
        <f>'Labour Cost'!F19</f>
        <v>21</v>
      </c>
      <c r="M494" s="414">
        <v>1.75</v>
      </c>
      <c r="N494" s="1090">
        <f>J494*K494*L494/M494</f>
        <v>12</v>
      </c>
      <c r="O494" s="1002"/>
      <c r="P494" s="412"/>
      <c r="Q494" s="412"/>
      <c r="R494" s="412"/>
      <c r="S494" s="412"/>
      <c r="T494" s="514"/>
      <c r="U494" s="507"/>
      <c r="V494" s="694"/>
    </row>
    <row r="495" spans="1:22" ht="12.75">
      <c r="A495" s="1004"/>
      <c r="B495" s="548"/>
      <c r="C495" s="1040"/>
      <c r="D495" s="1004"/>
      <c r="E495" s="521"/>
      <c r="F495" s="520"/>
      <c r="G495" s="522"/>
      <c r="H495" s="1005">
        <f>SUM(H492:H494)</f>
        <v>12.142000000000001</v>
      </c>
      <c r="I495" s="1004"/>
      <c r="J495" s="520"/>
      <c r="K495" s="522"/>
      <c r="L495" s="520"/>
      <c r="M495" s="520"/>
      <c r="N495" s="1005">
        <f>SUM(N492:N494)</f>
        <v>24.37870009157509</v>
      </c>
      <c r="O495" s="1004"/>
      <c r="P495" s="520"/>
      <c r="Q495" s="520"/>
      <c r="R495" s="520"/>
      <c r="S495" s="520"/>
      <c r="T495" s="522">
        <f>SUM(T492:T494)</f>
        <v>0.3657142857142857</v>
      </c>
      <c r="U495" s="522">
        <f>T495+N495+H495</f>
        <v>36.88641437728938</v>
      </c>
      <c r="V495" s="1005">
        <f>U495*$U$4</f>
        <v>49.73559579465977</v>
      </c>
    </row>
    <row r="496" spans="1:22" ht="12.75">
      <c r="A496" s="1002"/>
      <c r="B496" s="546"/>
      <c r="C496" s="1039"/>
      <c r="D496" s="1002"/>
      <c r="E496" s="413"/>
      <c r="F496" s="412"/>
      <c r="G496" s="414"/>
      <c r="H496" s="1057"/>
      <c r="I496" s="1002"/>
      <c r="J496" s="412"/>
      <c r="K496" s="414"/>
      <c r="L496" s="412"/>
      <c r="M496" s="412"/>
      <c r="N496" s="1091"/>
      <c r="O496" s="1002"/>
      <c r="P496" s="412"/>
      <c r="Q496" s="412"/>
      <c r="R496" s="412"/>
      <c r="S496" s="412"/>
      <c r="T496" s="514"/>
      <c r="U496" s="507"/>
      <c r="V496" s="1005"/>
    </row>
    <row r="497" spans="1:22" ht="12.75">
      <c r="A497" s="1002">
        <v>81</v>
      </c>
      <c r="B497" s="546" t="s">
        <v>1181</v>
      </c>
      <c r="C497" s="1039" t="s">
        <v>24</v>
      </c>
      <c r="D497" s="1002" t="s">
        <v>1182</v>
      </c>
      <c r="E497" s="413" t="s">
        <v>86</v>
      </c>
      <c r="F497" s="414">
        <v>5</v>
      </c>
      <c r="G497" s="414">
        <v>3</v>
      </c>
      <c r="H497" s="1059">
        <f>F497*G497</f>
        <v>15</v>
      </c>
      <c r="I497" s="1002" t="s">
        <v>275</v>
      </c>
      <c r="J497" s="412">
        <v>1</v>
      </c>
      <c r="K497" s="414">
        <v>0.1</v>
      </c>
      <c r="L497" s="414">
        <f>L492</f>
        <v>20.81362580128205</v>
      </c>
      <c r="M497" s="412">
        <v>1.25</v>
      </c>
      <c r="N497" s="1090">
        <f>K497*L497/M497</f>
        <v>1.6650900641025639</v>
      </c>
      <c r="O497" s="1002" t="s">
        <v>277</v>
      </c>
      <c r="P497" s="412">
        <v>2</v>
      </c>
      <c r="Q497" s="412">
        <v>1</v>
      </c>
      <c r="R497" s="412">
        <f>R10</f>
        <v>0.32</v>
      </c>
      <c r="S497" s="412">
        <v>1.25</v>
      </c>
      <c r="T497" s="515">
        <f>P497*R497/S497</f>
        <v>0.512</v>
      </c>
      <c r="U497" s="507"/>
      <c r="V497" s="1005"/>
    </row>
    <row r="498" spans="1:22" ht="12.75">
      <c r="A498" s="1002"/>
      <c r="B498" s="546"/>
      <c r="C498" s="1039"/>
      <c r="D498" s="1002" t="s">
        <v>3271</v>
      </c>
      <c r="E498" s="413" t="s">
        <v>86</v>
      </c>
      <c r="F498" s="414">
        <v>0.1</v>
      </c>
      <c r="G498" s="414">
        <v>40</v>
      </c>
      <c r="H498" s="1059">
        <f>F498*G498</f>
        <v>4</v>
      </c>
      <c r="I498" s="1002" t="s">
        <v>1006</v>
      </c>
      <c r="J498" s="412">
        <v>1</v>
      </c>
      <c r="K498" s="414">
        <v>1</v>
      </c>
      <c r="L498" s="415">
        <f>'Labour Cost'!F12</f>
        <v>35</v>
      </c>
      <c r="M498" s="412">
        <v>1.25</v>
      </c>
      <c r="N498" s="1090">
        <f>K498*L498/M498</f>
        <v>28</v>
      </c>
      <c r="O498" s="1002"/>
      <c r="P498" s="412"/>
      <c r="Q498" s="412"/>
      <c r="R498" s="412"/>
      <c r="S498" s="412"/>
      <c r="T498" s="514"/>
      <c r="U498" s="507"/>
      <c r="V498" s="1005"/>
    </row>
    <row r="499" spans="1:22" ht="12.75">
      <c r="A499" s="1002"/>
      <c r="B499" s="546"/>
      <c r="C499" s="1039"/>
      <c r="D499" s="1002" t="s">
        <v>1183</v>
      </c>
      <c r="E499" s="413" t="s">
        <v>1184</v>
      </c>
      <c r="F499" s="414">
        <v>0.1</v>
      </c>
      <c r="G499" s="414">
        <v>0.6</v>
      </c>
      <c r="H499" s="1059">
        <f>F499*G499</f>
        <v>0.06</v>
      </c>
      <c r="I499" s="1002" t="s">
        <v>2424</v>
      </c>
      <c r="J499" s="412">
        <v>2</v>
      </c>
      <c r="K499" s="414">
        <v>1</v>
      </c>
      <c r="L499" s="415">
        <f>L493</f>
        <v>8.75</v>
      </c>
      <c r="M499" s="412">
        <v>1.25</v>
      </c>
      <c r="N499" s="1090">
        <f>K499*L499/M499</f>
        <v>7</v>
      </c>
      <c r="O499" s="1002"/>
      <c r="P499" s="412"/>
      <c r="Q499" s="412"/>
      <c r="R499" s="412"/>
      <c r="S499" s="412"/>
      <c r="T499" s="514"/>
      <c r="U499" s="507"/>
      <c r="V499" s="1005"/>
    </row>
    <row r="500" spans="1:22" ht="12.75">
      <c r="A500" s="1002"/>
      <c r="B500" s="546"/>
      <c r="C500" s="1039"/>
      <c r="D500" s="1075" t="s">
        <v>1005</v>
      </c>
      <c r="E500" s="413"/>
      <c r="F500" s="412"/>
      <c r="G500" s="414">
        <v>0.5</v>
      </c>
      <c r="H500" s="1059">
        <f>(H497+H498+H499)*0.05</f>
        <v>0.953</v>
      </c>
      <c r="I500" s="1002"/>
      <c r="J500" s="412"/>
      <c r="K500" s="414"/>
      <c r="L500" s="412"/>
      <c r="M500" s="412"/>
      <c r="N500" s="1090"/>
      <c r="O500" s="1002"/>
      <c r="P500" s="412"/>
      <c r="Q500" s="412"/>
      <c r="R500" s="412"/>
      <c r="S500" s="412"/>
      <c r="T500" s="514"/>
      <c r="U500" s="507"/>
      <c r="V500" s="1005"/>
    </row>
    <row r="501" spans="1:22" ht="12.75">
      <c r="A501" s="1004"/>
      <c r="B501" s="548"/>
      <c r="C501" s="1040"/>
      <c r="D501" s="1004"/>
      <c r="E501" s="521"/>
      <c r="F501" s="520"/>
      <c r="G501" s="522"/>
      <c r="H501" s="1005">
        <f>SUM(H497:H500)</f>
        <v>20.012999999999998</v>
      </c>
      <c r="I501" s="1004"/>
      <c r="J501" s="520"/>
      <c r="K501" s="522"/>
      <c r="L501" s="520"/>
      <c r="M501" s="520"/>
      <c r="N501" s="1005">
        <f>SUM(N497:N500)</f>
        <v>36.665090064102564</v>
      </c>
      <c r="O501" s="1004"/>
      <c r="P501" s="520"/>
      <c r="Q501" s="520"/>
      <c r="R501" s="543"/>
      <c r="S501" s="520"/>
      <c r="T501" s="522">
        <f>SUM(T497:T500)</f>
        <v>0.512</v>
      </c>
      <c r="U501" s="520">
        <f>H501+N501+T501</f>
        <v>57.19009006410256</v>
      </c>
      <c r="V501" s="1005">
        <f>U501*$U$4</f>
        <v>77.11194625194184</v>
      </c>
    </row>
    <row r="502" spans="1:22" ht="12.75">
      <c r="A502" s="1002"/>
      <c r="B502" s="546"/>
      <c r="C502" s="1039"/>
      <c r="D502" s="1002"/>
      <c r="E502" s="413"/>
      <c r="F502" s="412"/>
      <c r="G502" s="414"/>
      <c r="H502" s="1057"/>
      <c r="I502" s="1002"/>
      <c r="J502" s="412"/>
      <c r="K502" s="414"/>
      <c r="L502" s="412"/>
      <c r="M502" s="412"/>
      <c r="N502" s="1091"/>
      <c r="O502" s="1002"/>
      <c r="P502" s="412"/>
      <c r="Q502" s="412"/>
      <c r="R502" s="410"/>
      <c r="S502" s="410"/>
      <c r="T502" s="514"/>
      <c r="U502" s="507"/>
      <c r="V502" s="694"/>
    </row>
    <row r="503" spans="1:22" ht="12.75">
      <c r="A503" s="1002">
        <v>82</v>
      </c>
      <c r="B503" s="546" t="s">
        <v>3272</v>
      </c>
      <c r="C503" s="1039"/>
      <c r="D503" s="1002" t="s">
        <v>800</v>
      </c>
      <c r="E503" s="413" t="s">
        <v>2359</v>
      </c>
      <c r="F503" s="414">
        <v>0.11</v>
      </c>
      <c r="G503" s="414">
        <f>'Material price'!D132</f>
        <v>172.52</v>
      </c>
      <c r="H503" s="1059">
        <f>F503*G503</f>
        <v>18.9772</v>
      </c>
      <c r="I503" s="1002" t="s">
        <v>275</v>
      </c>
      <c r="J503" s="412">
        <v>1</v>
      </c>
      <c r="K503" s="414">
        <v>1</v>
      </c>
      <c r="L503" s="414">
        <f>L497</f>
        <v>20.81362580128205</v>
      </c>
      <c r="M503" s="412">
        <v>1.75</v>
      </c>
      <c r="N503" s="1090">
        <f>J503*K503*L503/M503</f>
        <v>11.893500457875458</v>
      </c>
      <c r="O503" s="1002" t="s">
        <v>277</v>
      </c>
      <c r="P503" s="412">
        <v>2</v>
      </c>
      <c r="Q503" s="412">
        <v>1</v>
      </c>
      <c r="R503" s="412">
        <f>R10</f>
        <v>0.32</v>
      </c>
      <c r="S503" s="412">
        <v>1.75</v>
      </c>
      <c r="T503" s="515">
        <f>P503*R503/S503</f>
        <v>0.3657142857142857</v>
      </c>
      <c r="U503" s="507"/>
      <c r="V503" s="694"/>
    </row>
    <row r="504" spans="1:22" ht="12.75">
      <c r="A504" s="1002"/>
      <c r="B504" s="546" t="s">
        <v>800</v>
      </c>
      <c r="C504" s="1039" t="s">
        <v>24</v>
      </c>
      <c r="D504" s="1002"/>
      <c r="E504" s="413"/>
      <c r="F504" s="414"/>
      <c r="G504" s="414"/>
      <c r="H504" s="1059"/>
      <c r="I504" s="1002" t="s">
        <v>457</v>
      </c>
      <c r="J504" s="412">
        <v>1</v>
      </c>
      <c r="K504" s="414">
        <v>1</v>
      </c>
      <c r="L504" s="414">
        <f>L494</f>
        <v>21</v>
      </c>
      <c r="M504" s="412">
        <v>1.75</v>
      </c>
      <c r="N504" s="1090">
        <f>J504*K504*L504/M504</f>
        <v>12</v>
      </c>
      <c r="O504" s="1002"/>
      <c r="P504" s="412"/>
      <c r="Q504" s="412"/>
      <c r="R504" s="412"/>
      <c r="S504" s="412"/>
      <c r="T504" s="514"/>
      <c r="U504" s="507"/>
      <c r="V504" s="694"/>
    </row>
    <row r="505" spans="1:22" ht="12.75">
      <c r="A505" s="1002"/>
      <c r="B505" s="546"/>
      <c r="C505" s="1039"/>
      <c r="D505" s="1002"/>
      <c r="E505" s="413"/>
      <c r="F505" s="412"/>
      <c r="G505" s="414"/>
      <c r="H505" s="1057"/>
      <c r="I505" s="1002" t="s">
        <v>2424</v>
      </c>
      <c r="J505" s="412">
        <v>2</v>
      </c>
      <c r="K505" s="414">
        <v>0.2</v>
      </c>
      <c r="L505" s="414">
        <f>L499</f>
        <v>8.75</v>
      </c>
      <c r="M505" s="412">
        <v>1.75</v>
      </c>
      <c r="N505" s="1090">
        <f>J505*K505*L505/M505</f>
        <v>2</v>
      </c>
      <c r="O505" s="1002"/>
      <c r="P505" s="412"/>
      <c r="Q505" s="412"/>
      <c r="R505" s="412"/>
      <c r="S505" s="412"/>
      <c r="T505" s="514"/>
      <c r="U505" s="507"/>
      <c r="V505" s="694"/>
    </row>
    <row r="506" spans="1:22" ht="12.75">
      <c r="A506" s="1004"/>
      <c r="B506" s="548"/>
      <c r="C506" s="1040"/>
      <c r="D506" s="1004"/>
      <c r="E506" s="521"/>
      <c r="F506" s="520"/>
      <c r="G506" s="522"/>
      <c r="H506" s="1005">
        <f>SUM(H503:H505)</f>
        <v>18.9772</v>
      </c>
      <c r="I506" s="1004"/>
      <c r="J506" s="520"/>
      <c r="K506" s="522"/>
      <c r="L506" s="520"/>
      <c r="M506" s="520"/>
      <c r="N506" s="1005">
        <f>SUM(N503:N505)</f>
        <v>25.893500457875458</v>
      </c>
      <c r="O506" s="1004"/>
      <c r="P506" s="520"/>
      <c r="Q506" s="520"/>
      <c r="R506" s="520"/>
      <c r="S506" s="520"/>
      <c r="T506" s="522">
        <f>SUM(T503:T505)</f>
        <v>0.3657142857142857</v>
      </c>
      <c r="U506" s="522">
        <f>T506+N506+H506</f>
        <v>45.23641474358975</v>
      </c>
      <c r="V506" s="1005">
        <f>U506*$U$4</f>
        <v>60.99427328105888</v>
      </c>
    </row>
    <row r="507" spans="1:22" ht="12.75">
      <c r="A507" s="1002"/>
      <c r="B507" s="546"/>
      <c r="C507" s="1039"/>
      <c r="D507" s="1002"/>
      <c r="E507" s="413"/>
      <c r="F507" s="412"/>
      <c r="G507" s="414"/>
      <c r="H507" s="1057"/>
      <c r="I507" s="1002"/>
      <c r="J507" s="412"/>
      <c r="K507" s="414"/>
      <c r="L507" s="412"/>
      <c r="M507" s="412"/>
      <c r="N507" s="1091"/>
      <c r="O507" s="1002"/>
      <c r="P507" s="412"/>
      <c r="Q507" s="412"/>
      <c r="R507" s="412"/>
      <c r="S507" s="412"/>
      <c r="T507" s="514"/>
      <c r="U507" s="507"/>
      <c r="V507" s="694"/>
    </row>
    <row r="508" spans="1:22" ht="12.75">
      <c r="A508" s="1002">
        <v>83</v>
      </c>
      <c r="B508" s="546" t="s">
        <v>3273</v>
      </c>
      <c r="C508" s="1039"/>
      <c r="D508" s="1002" t="s">
        <v>800</v>
      </c>
      <c r="E508" s="413" t="s">
        <v>2359</v>
      </c>
      <c r="F508" s="414">
        <v>0.1</v>
      </c>
      <c r="G508" s="414">
        <f>'Material price'!D129</f>
        <v>163.69</v>
      </c>
      <c r="H508" s="1059">
        <f>F508*G508</f>
        <v>16.369</v>
      </c>
      <c r="I508" s="1002" t="s">
        <v>801</v>
      </c>
      <c r="J508" s="412">
        <v>1</v>
      </c>
      <c r="K508" s="414">
        <v>1</v>
      </c>
      <c r="L508" s="412">
        <v>3.75</v>
      </c>
      <c r="M508" s="412">
        <v>2</v>
      </c>
      <c r="N508" s="1090">
        <f>J508*K508*L508/M508</f>
        <v>1.875</v>
      </c>
      <c r="O508" s="1002" t="s">
        <v>277</v>
      </c>
      <c r="P508" s="412">
        <v>2</v>
      </c>
      <c r="Q508" s="412">
        <v>1</v>
      </c>
      <c r="R508" s="412">
        <f>R10</f>
        <v>0.32</v>
      </c>
      <c r="S508" s="412">
        <v>2</v>
      </c>
      <c r="T508" s="515">
        <f>P508*R508/S508</f>
        <v>0.32</v>
      </c>
      <c r="U508" s="507"/>
      <c r="V508" s="694"/>
    </row>
    <row r="509" spans="1:22" ht="12.75">
      <c r="A509" s="1002"/>
      <c r="B509" s="546" t="s">
        <v>3274</v>
      </c>
      <c r="C509" s="1039" t="s">
        <v>24</v>
      </c>
      <c r="D509" s="1002" t="s">
        <v>785</v>
      </c>
      <c r="E509" s="413" t="s">
        <v>3099</v>
      </c>
      <c r="F509" s="414">
        <v>0.3</v>
      </c>
      <c r="G509" s="414">
        <v>15</v>
      </c>
      <c r="H509" s="1059">
        <f>F509*G509</f>
        <v>4.5</v>
      </c>
      <c r="I509" s="1002" t="s">
        <v>1379</v>
      </c>
      <c r="J509" s="412">
        <v>2</v>
      </c>
      <c r="K509" s="414">
        <v>1</v>
      </c>
      <c r="L509" s="412">
        <v>1.06</v>
      </c>
      <c r="M509" s="412">
        <v>2</v>
      </c>
      <c r="N509" s="1090">
        <f>J509*K509*L509/M509</f>
        <v>1.06</v>
      </c>
      <c r="O509" s="1002"/>
      <c r="P509" s="412"/>
      <c r="Q509" s="412"/>
      <c r="R509" s="412"/>
      <c r="S509" s="412"/>
      <c r="T509" s="514"/>
      <c r="U509" s="507"/>
      <c r="V509" s="694"/>
    </row>
    <row r="510" spans="1:22" ht="12.75">
      <c r="A510" s="1002"/>
      <c r="B510" s="546"/>
      <c r="C510" s="1039"/>
      <c r="D510" s="1002"/>
      <c r="E510" s="413"/>
      <c r="F510" s="412"/>
      <c r="G510" s="414"/>
      <c r="H510" s="1057"/>
      <c r="I510" s="1002" t="s">
        <v>275</v>
      </c>
      <c r="J510" s="412">
        <v>1</v>
      </c>
      <c r="K510" s="414">
        <v>0.2</v>
      </c>
      <c r="L510" s="414">
        <v>4.5</v>
      </c>
      <c r="M510" s="412">
        <v>2</v>
      </c>
      <c r="N510" s="1090">
        <f>J510*K510*L510/M510</f>
        <v>0.45</v>
      </c>
      <c r="O510" s="1002"/>
      <c r="P510" s="412"/>
      <c r="Q510" s="412"/>
      <c r="R510" s="412"/>
      <c r="S510" s="412"/>
      <c r="T510" s="514"/>
      <c r="U510" s="507"/>
      <c r="V510" s="694"/>
    </row>
    <row r="511" spans="1:22" ht="12.75">
      <c r="A511" s="1004"/>
      <c r="B511" s="548"/>
      <c r="C511" s="1040"/>
      <c r="D511" s="1004"/>
      <c r="E511" s="521"/>
      <c r="F511" s="520"/>
      <c r="G511" s="520"/>
      <c r="H511" s="1005">
        <f>SUM(H508:H510)</f>
        <v>20.869</v>
      </c>
      <c r="I511" s="1004"/>
      <c r="J511" s="520"/>
      <c r="K511" s="522"/>
      <c r="L511" s="520"/>
      <c r="M511" s="520"/>
      <c r="N511" s="1005">
        <f>SUM(N508:N510)</f>
        <v>3.3850000000000002</v>
      </c>
      <c r="O511" s="1004"/>
      <c r="P511" s="520"/>
      <c r="Q511" s="520"/>
      <c r="R511" s="520"/>
      <c r="S511" s="520"/>
      <c r="T511" s="522">
        <f>SUM(T508:T510)</f>
        <v>0.32</v>
      </c>
      <c r="U511" s="522">
        <f>T511+N511+H511</f>
        <v>24.573999999999998</v>
      </c>
      <c r="V511" s="1005">
        <f>U511*$U$4</f>
        <v>33.134218971699994</v>
      </c>
    </row>
    <row r="512" spans="1:22" ht="12.75">
      <c r="A512" s="1002"/>
      <c r="B512" s="546"/>
      <c r="C512" s="1039"/>
      <c r="D512" s="1002"/>
      <c r="E512" s="413"/>
      <c r="F512" s="412"/>
      <c r="G512" s="412"/>
      <c r="H512" s="1057"/>
      <c r="I512" s="1002"/>
      <c r="J512" s="412"/>
      <c r="K512" s="414"/>
      <c r="L512" s="412"/>
      <c r="M512" s="412"/>
      <c r="N512" s="1091"/>
      <c r="O512" s="1002"/>
      <c r="P512" s="412"/>
      <c r="Q512" s="412"/>
      <c r="R512" s="412"/>
      <c r="S512" s="412"/>
      <c r="T512" s="514"/>
      <c r="U512" s="507"/>
      <c r="V512" s="694"/>
    </row>
    <row r="513" spans="1:22" ht="32.25" customHeight="1">
      <c r="A513" s="1002"/>
      <c r="B513" s="1320" t="s">
        <v>3167</v>
      </c>
      <c r="C513" s="1327"/>
      <c r="D513" s="1060"/>
      <c r="E513" s="1044"/>
      <c r="F513" s="1042"/>
      <c r="G513" s="1044"/>
      <c r="H513" s="1061"/>
      <c r="I513" s="1002"/>
      <c r="J513" s="412"/>
      <c r="K513" s="414"/>
      <c r="L513" s="412"/>
      <c r="M513" s="412"/>
      <c r="N513" s="1091"/>
      <c r="O513" s="1002"/>
      <c r="P513" s="412"/>
      <c r="Q513" s="412"/>
      <c r="R513" s="412"/>
      <c r="S513" s="412"/>
      <c r="T513" s="514"/>
      <c r="U513" s="507"/>
      <c r="V513" s="694"/>
    </row>
    <row r="514" spans="1:22" ht="12.75">
      <c r="A514" s="1002"/>
      <c r="B514" s="546" t="s">
        <v>803</v>
      </c>
      <c r="C514" s="1039"/>
      <c r="D514" s="1002"/>
      <c r="E514" s="413"/>
      <c r="F514" s="412"/>
      <c r="G514" s="412"/>
      <c r="H514" s="1057"/>
      <c r="I514" s="1002"/>
      <c r="J514" s="412"/>
      <c r="K514" s="414"/>
      <c r="L514" s="412"/>
      <c r="M514" s="412"/>
      <c r="N514" s="1091"/>
      <c r="O514" s="1002"/>
      <c r="P514" s="412"/>
      <c r="Q514" s="412"/>
      <c r="R514" s="412"/>
      <c r="S514" s="412"/>
      <c r="T514" s="514"/>
      <c r="U514" s="507"/>
      <c r="V514" s="694"/>
    </row>
    <row r="515" spans="1:22" ht="12.75">
      <c r="A515" s="1002">
        <v>1</v>
      </c>
      <c r="B515" s="546" t="s">
        <v>804</v>
      </c>
      <c r="C515" s="1039" t="s">
        <v>92</v>
      </c>
      <c r="D515" s="1002" t="s">
        <v>805</v>
      </c>
      <c r="E515" s="413" t="s">
        <v>2557</v>
      </c>
      <c r="F515" s="412">
        <v>1.05</v>
      </c>
      <c r="G515" s="414">
        <f>'Material price'!D250</f>
        <v>13.043</v>
      </c>
      <c r="H515" s="1059">
        <f>F515*G515</f>
        <v>13.69515</v>
      </c>
      <c r="I515" s="1002" t="s">
        <v>275</v>
      </c>
      <c r="J515" s="412">
        <v>1</v>
      </c>
      <c r="K515" s="414">
        <v>0.25</v>
      </c>
      <c r="L515" s="415">
        <f>'Labour Cost'!F7</f>
        <v>20.81362580128205</v>
      </c>
      <c r="M515" s="414">
        <v>2</v>
      </c>
      <c r="N515" s="1090">
        <f>K515*L515/M515</f>
        <v>2.6017032251602563</v>
      </c>
      <c r="O515" s="1002" t="s">
        <v>277</v>
      </c>
      <c r="P515" s="412">
        <v>2</v>
      </c>
      <c r="Q515" s="412">
        <v>1</v>
      </c>
      <c r="R515" s="414">
        <v>3</v>
      </c>
      <c r="S515" s="412">
        <v>2</v>
      </c>
      <c r="T515" s="515">
        <f>P515*Q515*R515/S515</f>
        <v>3</v>
      </c>
      <c r="U515" s="507"/>
      <c r="V515" s="694"/>
    </row>
    <row r="516" spans="1:22" ht="12.75">
      <c r="A516" s="1002"/>
      <c r="B516" s="546" t="s">
        <v>2839</v>
      </c>
      <c r="C516" s="1039"/>
      <c r="D516" s="1002" t="s">
        <v>806</v>
      </c>
      <c r="E516" s="413" t="s">
        <v>807</v>
      </c>
      <c r="F516" s="412">
        <v>12</v>
      </c>
      <c r="G516" s="414">
        <v>0.03</v>
      </c>
      <c r="H516" s="1059">
        <f>F516*G516</f>
        <v>0.36</v>
      </c>
      <c r="I516" s="1002" t="s">
        <v>808</v>
      </c>
      <c r="J516" s="412">
        <v>1</v>
      </c>
      <c r="K516" s="414">
        <v>1</v>
      </c>
      <c r="L516" s="415">
        <f>'Labour Cost'!F23</f>
        <v>9.625</v>
      </c>
      <c r="M516" s="414">
        <v>2</v>
      </c>
      <c r="N516" s="1090">
        <f>K516*L516/M516</f>
        <v>4.8125</v>
      </c>
      <c r="O516" s="1002"/>
      <c r="P516" s="412"/>
      <c r="Q516" s="412"/>
      <c r="R516" s="412"/>
      <c r="S516" s="412"/>
      <c r="T516" s="515"/>
      <c r="U516" s="507"/>
      <c r="V516" s="694"/>
    </row>
    <row r="517" spans="1:22" ht="12.75">
      <c r="A517" s="1002"/>
      <c r="B517" s="546"/>
      <c r="C517" s="1039"/>
      <c r="D517" s="1002" t="s">
        <v>809</v>
      </c>
      <c r="E517" s="413" t="s">
        <v>807</v>
      </c>
      <c r="F517" s="412">
        <v>6</v>
      </c>
      <c r="G517" s="414">
        <v>0.2</v>
      </c>
      <c r="H517" s="1059">
        <f>F517*G517</f>
        <v>1.2000000000000002</v>
      </c>
      <c r="I517" s="1002" t="s">
        <v>810</v>
      </c>
      <c r="J517" s="412">
        <v>2</v>
      </c>
      <c r="K517" s="414">
        <v>1</v>
      </c>
      <c r="L517" s="415">
        <f>'Labour Cost'!F21</f>
        <v>8.75</v>
      </c>
      <c r="M517" s="414">
        <v>2</v>
      </c>
      <c r="N517" s="1090">
        <f>K517*L517/M517</f>
        <v>4.375</v>
      </c>
      <c r="O517" s="1002"/>
      <c r="P517" s="412"/>
      <c r="Q517" s="412"/>
      <c r="R517" s="412"/>
      <c r="S517" s="412"/>
      <c r="T517" s="515"/>
      <c r="U517" s="507"/>
      <c r="V517" s="694"/>
    </row>
    <row r="518" spans="1:22" ht="12.75">
      <c r="A518" s="1002"/>
      <c r="B518" s="546"/>
      <c r="C518" s="1039"/>
      <c r="D518" s="1002" t="s">
        <v>811</v>
      </c>
      <c r="E518" s="413" t="s">
        <v>1561</v>
      </c>
      <c r="F518" s="412">
        <v>0.2</v>
      </c>
      <c r="G518" s="414">
        <v>2</v>
      </c>
      <c r="H518" s="1059">
        <f>F518*G518</f>
        <v>0.4</v>
      </c>
      <c r="I518" s="1002" t="s">
        <v>812</v>
      </c>
      <c r="J518" s="412">
        <v>1</v>
      </c>
      <c r="K518" s="414">
        <v>1</v>
      </c>
      <c r="L518" s="415">
        <f>'Labour Cost'!F14</f>
        <v>26.25</v>
      </c>
      <c r="M518" s="414">
        <v>2</v>
      </c>
      <c r="N518" s="1090">
        <f>K518*L518/M518</f>
        <v>13.125</v>
      </c>
      <c r="O518" s="1002"/>
      <c r="P518" s="412"/>
      <c r="Q518" s="412"/>
      <c r="R518" s="412"/>
      <c r="S518" s="412"/>
      <c r="T518" s="515"/>
      <c r="U518" s="507"/>
      <c r="V518" s="694"/>
    </row>
    <row r="519" spans="1:22" ht="12.75">
      <c r="A519" s="1004"/>
      <c r="B519" s="548"/>
      <c r="C519" s="1040"/>
      <c r="D519" s="1004"/>
      <c r="E519" s="521"/>
      <c r="F519" s="520"/>
      <c r="G519" s="522"/>
      <c r="H519" s="1005">
        <f>SUM(H515:H518)</f>
        <v>15.65515</v>
      </c>
      <c r="I519" s="1004"/>
      <c r="J519" s="520"/>
      <c r="K519" s="522"/>
      <c r="L519" s="520"/>
      <c r="M519" s="520"/>
      <c r="N519" s="1005">
        <f>SUM(N515:N518)</f>
        <v>24.914203225160257</v>
      </c>
      <c r="O519" s="1004"/>
      <c r="P519" s="520"/>
      <c r="Q519" s="520"/>
      <c r="R519" s="520"/>
      <c r="S519" s="520"/>
      <c r="T519" s="522">
        <f>SUM(T515:T518)</f>
        <v>3</v>
      </c>
      <c r="U519" s="522">
        <f>T519+N519+H519</f>
        <v>43.569353225160256</v>
      </c>
      <c r="V519" s="1005">
        <f>U519*$U$4</f>
        <v>58.74649996816975</v>
      </c>
    </row>
    <row r="520" spans="1:22" ht="12.75">
      <c r="A520" s="1002"/>
      <c r="B520" s="546"/>
      <c r="C520" s="1039"/>
      <c r="D520" s="1002"/>
      <c r="E520" s="413"/>
      <c r="F520" s="412"/>
      <c r="G520" s="414"/>
      <c r="H520" s="1057"/>
      <c r="I520" s="1002"/>
      <c r="J520" s="412"/>
      <c r="K520" s="414"/>
      <c r="L520" s="412"/>
      <c r="M520" s="412"/>
      <c r="N520" s="1091"/>
      <c r="O520" s="1002"/>
      <c r="P520" s="412"/>
      <c r="Q520" s="412"/>
      <c r="R520" s="412"/>
      <c r="S520" s="412"/>
      <c r="T520" s="514"/>
      <c r="U520" s="507"/>
      <c r="V520" s="1005"/>
    </row>
    <row r="521" spans="1:22" ht="12.75">
      <c r="A521" s="1002">
        <v>2</v>
      </c>
      <c r="B521" s="546" t="s">
        <v>804</v>
      </c>
      <c r="C521" s="1039" t="s">
        <v>92</v>
      </c>
      <c r="D521" s="1002" t="s">
        <v>805</v>
      </c>
      <c r="E521" s="413" t="s">
        <v>2557</v>
      </c>
      <c r="F521" s="412">
        <v>1.05</v>
      </c>
      <c r="G521" s="414">
        <f>'Material price'!D251</f>
        <v>17.39</v>
      </c>
      <c r="H521" s="1059">
        <f>F521*G521</f>
        <v>18.259500000000003</v>
      </c>
      <c r="I521" s="1002" t="s">
        <v>275</v>
      </c>
      <c r="J521" s="412">
        <v>1</v>
      </c>
      <c r="K521" s="414">
        <v>0.25</v>
      </c>
      <c r="L521" s="415">
        <f>L515</f>
        <v>20.81362580128205</v>
      </c>
      <c r="M521" s="412">
        <v>1.75</v>
      </c>
      <c r="N521" s="1090">
        <f>K521*L521/M521</f>
        <v>2.9733751144688645</v>
      </c>
      <c r="O521" s="1002" t="s">
        <v>277</v>
      </c>
      <c r="P521" s="412">
        <v>2</v>
      </c>
      <c r="Q521" s="412">
        <v>1</v>
      </c>
      <c r="R521" s="414">
        <v>3</v>
      </c>
      <c r="S521" s="414">
        <v>1.75</v>
      </c>
      <c r="T521" s="515">
        <f>P521*Q521*R521/S521</f>
        <v>3.4285714285714284</v>
      </c>
      <c r="U521" s="507"/>
      <c r="V521" s="1005"/>
    </row>
    <row r="522" spans="1:22" ht="12.75">
      <c r="A522" s="1002"/>
      <c r="B522" s="546" t="s">
        <v>2838</v>
      </c>
      <c r="C522" s="1039"/>
      <c r="D522" s="1002" t="s">
        <v>806</v>
      </c>
      <c r="E522" s="413" t="s">
        <v>807</v>
      </c>
      <c r="F522" s="412">
        <v>12</v>
      </c>
      <c r="G522" s="414">
        <v>0.03</v>
      </c>
      <c r="H522" s="1059">
        <f>F522*G522</f>
        <v>0.36</v>
      </c>
      <c r="I522" s="1002" t="s">
        <v>808</v>
      </c>
      <c r="J522" s="412">
        <v>1</v>
      </c>
      <c r="K522" s="414">
        <v>1</v>
      </c>
      <c r="L522" s="415">
        <f>L516</f>
        <v>9.625</v>
      </c>
      <c r="M522" s="412">
        <v>1.75</v>
      </c>
      <c r="N522" s="1090">
        <f>K522*L522/M522</f>
        <v>5.5</v>
      </c>
      <c r="O522" s="1002"/>
      <c r="P522" s="412"/>
      <c r="Q522" s="412"/>
      <c r="R522" s="412"/>
      <c r="S522" s="412"/>
      <c r="T522" s="514"/>
      <c r="U522" s="507"/>
      <c r="V522" s="1005"/>
    </row>
    <row r="523" spans="1:22" ht="12.75">
      <c r="A523" s="1002"/>
      <c r="B523" s="546"/>
      <c r="C523" s="1039"/>
      <c r="D523" s="1002" t="s">
        <v>809</v>
      </c>
      <c r="E523" s="413" t="s">
        <v>807</v>
      </c>
      <c r="F523" s="412">
        <v>6</v>
      </c>
      <c r="G523" s="414">
        <v>0.2</v>
      </c>
      <c r="H523" s="1059">
        <f>F523*G523</f>
        <v>1.2000000000000002</v>
      </c>
      <c r="I523" s="1002" t="s">
        <v>810</v>
      </c>
      <c r="J523" s="412">
        <v>2</v>
      </c>
      <c r="K523" s="414">
        <v>1</v>
      </c>
      <c r="L523" s="415">
        <f>L517</f>
        <v>8.75</v>
      </c>
      <c r="M523" s="412">
        <v>1.75</v>
      </c>
      <c r="N523" s="1090">
        <f>K523*L523/M523</f>
        <v>5</v>
      </c>
      <c r="O523" s="1002"/>
      <c r="P523" s="412"/>
      <c r="Q523" s="412"/>
      <c r="R523" s="412"/>
      <c r="S523" s="412"/>
      <c r="T523" s="514"/>
      <c r="U523" s="507"/>
      <c r="V523" s="1005"/>
    </row>
    <row r="524" spans="1:22" ht="12.75">
      <c r="A524" s="1002"/>
      <c r="B524" s="546"/>
      <c r="C524" s="1039"/>
      <c r="D524" s="1002" t="s">
        <v>811</v>
      </c>
      <c r="E524" s="413" t="s">
        <v>1561</v>
      </c>
      <c r="F524" s="412">
        <v>0.2</v>
      </c>
      <c r="G524" s="414">
        <v>3.5</v>
      </c>
      <c r="H524" s="1059">
        <f>F524*G524</f>
        <v>0.7000000000000001</v>
      </c>
      <c r="I524" s="1002" t="s">
        <v>812</v>
      </c>
      <c r="J524" s="412">
        <v>1</v>
      </c>
      <c r="K524" s="414">
        <v>1</v>
      </c>
      <c r="L524" s="415">
        <f>L518</f>
        <v>26.25</v>
      </c>
      <c r="M524" s="412">
        <v>1.75</v>
      </c>
      <c r="N524" s="1090">
        <f>K524*L524/M524</f>
        <v>15</v>
      </c>
      <c r="O524" s="1002"/>
      <c r="P524" s="412"/>
      <c r="Q524" s="412"/>
      <c r="R524" s="412"/>
      <c r="S524" s="412"/>
      <c r="T524" s="514"/>
      <c r="U524" s="507"/>
      <c r="V524" s="1005"/>
    </row>
    <row r="525" spans="1:22" ht="12.75">
      <c r="A525" s="1004"/>
      <c r="B525" s="548"/>
      <c r="C525" s="1040"/>
      <c r="D525" s="1004"/>
      <c r="E525" s="521"/>
      <c r="F525" s="520"/>
      <c r="G525" s="522"/>
      <c r="H525" s="1005">
        <f>SUM(H521:H524)</f>
        <v>20.5195</v>
      </c>
      <c r="I525" s="1004"/>
      <c r="J525" s="520"/>
      <c r="K525" s="522"/>
      <c r="L525" s="520"/>
      <c r="M525" s="520"/>
      <c r="N525" s="1005">
        <f>SUM(N521:N524)</f>
        <v>28.473375114468865</v>
      </c>
      <c r="O525" s="1004"/>
      <c r="P525" s="520"/>
      <c r="Q525" s="520"/>
      <c r="R525" s="520"/>
      <c r="S525" s="520"/>
      <c r="T525" s="522">
        <f>SUM(T521:T524)</f>
        <v>3.4285714285714284</v>
      </c>
      <c r="U525" s="522">
        <f>T525+N525+H525</f>
        <v>52.42144654304029</v>
      </c>
      <c r="V525" s="1005">
        <f>U525*$U$4</f>
        <v>70.68217174942471</v>
      </c>
    </row>
    <row r="526" spans="1:22" ht="12.75">
      <c r="A526" s="1002"/>
      <c r="B526" s="546"/>
      <c r="C526" s="1039"/>
      <c r="D526" s="1002"/>
      <c r="E526" s="413"/>
      <c r="F526" s="412"/>
      <c r="G526" s="414"/>
      <c r="H526" s="1057"/>
      <c r="I526" s="1002"/>
      <c r="J526" s="412"/>
      <c r="K526" s="414"/>
      <c r="L526" s="412"/>
      <c r="M526" s="412"/>
      <c r="N526" s="1091"/>
      <c r="O526" s="1002"/>
      <c r="P526" s="412"/>
      <c r="Q526" s="412"/>
      <c r="R526" s="412"/>
      <c r="S526" s="412"/>
      <c r="T526" s="514"/>
      <c r="U526" s="507"/>
      <c r="V526" s="1005"/>
    </row>
    <row r="527" spans="1:22" ht="12.75">
      <c r="A527" s="1002">
        <v>3</v>
      </c>
      <c r="B527" s="546" t="s">
        <v>804</v>
      </c>
      <c r="C527" s="1039" t="s">
        <v>92</v>
      </c>
      <c r="D527" s="1002" t="s">
        <v>805</v>
      </c>
      <c r="E527" s="413" t="s">
        <v>2557</v>
      </c>
      <c r="F527" s="412">
        <v>1.05</v>
      </c>
      <c r="G527" s="414">
        <f>'Material price'!D252</f>
        <v>24.63</v>
      </c>
      <c r="H527" s="1059">
        <f>F527*G527</f>
        <v>25.8615</v>
      </c>
      <c r="I527" s="1002" t="s">
        <v>275</v>
      </c>
      <c r="J527" s="412">
        <v>1</v>
      </c>
      <c r="K527" s="414">
        <v>0.25</v>
      </c>
      <c r="L527" s="415">
        <f>L521</f>
        <v>20.81362580128205</v>
      </c>
      <c r="M527" s="414">
        <v>1.5</v>
      </c>
      <c r="N527" s="1090">
        <f>K527*L527/M527</f>
        <v>3.4689376335470086</v>
      </c>
      <c r="O527" s="1002" t="s">
        <v>277</v>
      </c>
      <c r="P527" s="412">
        <v>2</v>
      </c>
      <c r="Q527" s="412">
        <v>1</v>
      </c>
      <c r="R527" s="414">
        <v>3</v>
      </c>
      <c r="S527" s="414">
        <v>1.5</v>
      </c>
      <c r="T527" s="515">
        <f>P527*Q527*R527/S527</f>
        <v>4</v>
      </c>
      <c r="U527" s="507"/>
      <c r="V527" s="1005"/>
    </row>
    <row r="528" spans="1:22" ht="12.75">
      <c r="A528" s="1002"/>
      <c r="B528" s="546" t="s">
        <v>2837</v>
      </c>
      <c r="C528" s="1039"/>
      <c r="D528" s="1002" t="s">
        <v>806</v>
      </c>
      <c r="E528" s="413" t="s">
        <v>807</v>
      </c>
      <c r="F528" s="412">
        <v>12</v>
      </c>
      <c r="G528" s="414">
        <v>0.03</v>
      </c>
      <c r="H528" s="1059">
        <f>F528*G528</f>
        <v>0.36</v>
      </c>
      <c r="I528" s="1002" t="s">
        <v>808</v>
      </c>
      <c r="J528" s="412">
        <v>1</v>
      </c>
      <c r="K528" s="414">
        <v>1</v>
      </c>
      <c r="L528" s="415">
        <f>L522</f>
        <v>9.625</v>
      </c>
      <c r="M528" s="414">
        <v>1.5</v>
      </c>
      <c r="N528" s="1090">
        <f>K528*L528/M528</f>
        <v>6.416666666666667</v>
      </c>
      <c r="O528" s="1002"/>
      <c r="P528" s="412"/>
      <c r="Q528" s="412"/>
      <c r="R528" s="412"/>
      <c r="S528" s="412"/>
      <c r="T528" s="514"/>
      <c r="U528" s="507"/>
      <c r="V528" s="1005"/>
    </row>
    <row r="529" spans="1:22" ht="12.75">
      <c r="A529" s="1002"/>
      <c r="B529" s="546"/>
      <c r="C529" s="1039"/>
      <c r="D529" s="1002" t="s">
        <v>809</v>
      </c>
      <c r="E529" s="413" t="s">
        <v>807</v>
      </c>
      <c r="F529" s="412">
        <v>6</v>
      </c>
      <c r="G529" s="414">
        <v>0.2</v>
      </c>
      <c r="H529" s="1059">
        <f>F529*G529</f>
        <v>1.2000000000000002</v>
      </c>
      <c r="I529" s="1002" t="s">
        <v>810</v>
      </c>
      <c r="J529" s="412">
        <v>2</v>
      </c>
      <c r="K529" s="414">
        <v>1</v>
      </c>
      <c r="L529" s="415">
        <f>L523</f>
        <v>8.75</v>
      </c>
      <c r="M529" s="414">
        <v>1.5</v>
      </c>
      <c r="N529" s="1090">
        <f>K529*L529/M529</f>
        <v>5.833333333333333</v>
      </c>
      <c r="O529" s="1002"/>
      <c r="P529" s="412"/>
      <c r="Q529" s="412"/>
      <c r="R529" s="412"/>
      <c r="S529" s="412"/>
      <c r="T529" s="514"/>
      <c r="U529" s="507"/>
      <c r="V529" s="1005"/>
    </row>
    <row r="530" spans="1:22" ht="12.75">
      <c r="A530" s="1002"/>
      <c r="B530" s="546"/>
      <c r="C530" s="1039"/>
      <c r="D530" s="1002" t="s">
        <v>811</v>
      </c>
      <c r="E530" s="413" t="s">
        <v>1561</v>
      </c>
      <c r="F530" s="412">
        <v>0.2</v>
      </c>
      <c r="G530" s="414">
        <v>4</v>
      </c>
      <c r="H530" s="1059">
        <f>F530*G530</f>
        <v>0.8</v>
      </c>
      <c r="I530" s="1002" t="s">
        <v>812</v>
      </c>
      <c r="J530" s="412">
        <v>1</v>
      </c>
      <c r="K530" s="414">
        <v>1</v>
      </c>
      <c r="L530" s="415">
        <f>L524</f>
        <v>26.25</v>
      </c>
      <c r="M530" s="414">
        <v>1.5</v>
      </c>
      <c r="N530" s="1090">
        <f>K530*L530/M530</f>
        <v>17.5</v>
      </c>
      <c r="O530" s="1002"/>
      <c r="P530" s="412"/>
      <c r="Q530" s="412"/>
      <c r="R530" s="412"/>
      <c r="S530" s="412"/>
      <c r="T530" s="514"/>
      <c r="U530" s="507"/>
      <c r="V530" s="1005"/>
    </row>
    <row r="531" spans="1:22" ht="12.75">
      <c r="A531" s="1004"/>
      <c r="B531" s="548"/>
      <c r="C531" s="1040"/>
      <c r="D531" s="1004"/>
      <c r="E531" s="521"/>
      <c r="F531" s="520"/>
      <c r="G531" s="522"/>
      <c r="H531" s="1005">
        <f>SUM(H527:H530)</f>
        <v>28.2215</v>
      </c>
      <c r="I531" s="1004"/>
      <c r="J531" s="520"/>
      <c r="K531" s="522"/>
      <c r="L531" s="520"/>
      <c r="M531" s="520"/>
      <c r="N531" s="1005">
        <f>SUM(N527:N530)</f>
        <v>33.21893763354701</v>
      </c>
      <c r="O531" s="1004"/>
      <c r="P531" s="520"/>
      <c r="Q531" s="520"/>
      <c r="R531" s="520"/>
      <c r="S531" s="520"/>
      <c r="T531" s="522">
        <f>SUM(T527:T530)</f>
        <v>4</v>
      </c>
      <c r="U531" s="522">
        <f>H531+N531+T531</f>
        <v>65.440437633547</v>
      </c>
      <c r="V531" s="1005">
        <f>U531*$U$4</f>
        <v>88.236257432808</v>
      </c>
    </row>
    <row r="532" spans="1:22" ht="12.75">
      <c r="A532" s="1002"/>
      <c r="B532" s="546"/>
      <c r="C532" s="1039"/>
      <c r="D532" s="1002"/>
      <c r="E532" s="413"/>
      <c r="F532" s="412"/>
      <c r="G532" s="414"/>
      <c r="H532" s="1057"/>
      <c r="I532" s="1002"/>
      <c r="J532" s="412"/>
      <c r="K532" s="414"/>
      <c r="L532" s="412"/>
      <c r="M532" s="412"/>
      <c r="N532" s="1091"/>
      <c r="O532" s="1002"/>
      <c r="P532" s="412"/>
      <c r="Q532" s="412"/>
      <c r="R532" s="412"/>
      <c r="S532" s="412"/>
      <c r="T532" s="514"/>
      <c r="U532" s="507"/>
      <c r="V532" s="1005"/>
    </row>
    <row r="533" spans="1:22" ht="12.75">
      <c r="A533" s="1002">
        <v>4</v>
      </c>
      <c r="B533" s="546" t="s">
        <v>804</v>
      </c>
      <c r="C533" s="1039" t="s">
        <v>92</v>
      </c>
      <c r="D533" s="1002" t="s">
        <v>805</v>
      </c>
      <c r="E533" s="413" t="s">
        <v>2557</v>
      </c>
      <c r="F533" s="412">
        <v>1.05</v>
      </c>
      <c r="G533" s="414">
        <f>'Material price'!D245</f>
        <v>330.48</v>
      </c>
      <c r="H533" s="1059">
        <f>F533*G533</f>
        <v>347.004</v>
      </c>
      <c r="I533" s="1002" t="s">
        <v>275</v>
      </c>
      <c r="J533" s="412">
        <v>1</v>
      </c>
      <c r="K533" s="414">
        <v>0.25</v>
      </c>
      <c r="L533" s="415">
        <f>L527</f>
        <v>20.81362580128205</v>
      </c>
      <c r="M533" s="412">
        <v>1.25</v>
      </c>
      <c r="N533" s="1090">
        <f>K533*L533/M533</f>
        <v>4.16272516025641</v>
      </c>
      <c r="O533" s="1002" t="s">
        <v>277</v>
      </c>
      <c r="P533" s="412">
        <v>2</v>
      </c>
      <c r="Q533" s="412">
        <v>1</v>
      </c>
      <c r="R533" s="414">
        <v>3</v>
      </c>
      <c r="S533" s="412">
        <v>1.25</v>
      </c>
      <c r="T533" s="515">
        <f>P533*Q533*R533/S533</f>
        <v>4.8</v>
      </c>
      <c r="U533" s="507"/>
      <c r="V533" s="1005"/>
    </row>
    <row r="534" spans="1:22" ht="12.75">
      <c r="A534" s="1002"/>
      <c r="B534" s="546" t="s">
        <v>2840</v>
      </c>
      <c r="C534" s="1039"/>
      <c r="D534" s="1002" t="s">
        <v>806</v>
      </c>
      <c r="E534" s="413" t="s">
        <v>807</v>
      </c>
      <c r="F534" s="412">
        <v>12</v>
      </c>
      <c r="G534" s="414">
        <v>0.03</v>
      </c>
      <c r="H534" s="1059">
        <f>F534*G534</f>
        <v>0.36</v>
      </c>
      <c r="I534" s="1002" t="s">
        <v>808</v>
      </c>
      <c r="J534" s="412">
        <v>1</v>
      </c>
      <c r="K534" s="414">
        <v>1</v>
      </c>
      <c r="L534" s="415">
        <f>L528</f>
        <v>9.625</v>
      </c>
      <c r="M534" s="412">
        <v>1.25</v>
      </c>
      <c r="N534" s="1090">
        <f>K534*L534/M534</f>
        <v>7.7</v>
      </c>
      <c r="O534" s="1002"/>
      <c r="P534" s="412"/>
      <c r="Q534" s="412"/>
      <c r="R534" s="412"/>
      <c r="S534" s="412"/>
      <c r="T534" s="515"/>
      <c r="U534" s="507"/>
      <c r="V534" s="1005"/>
    </row>
    <row r="535" spans="1:22" ht="12.75">
      <c r="A535" s="1002"/>
      <c r="B535" s="546"/>
      <c r="C535" s="1039"/>
      <c r="D535" s="1002" t="s">
        <v>809</v>
      </c>
      <c r="E535" s="413" t="s">
        <v>807</v>
      </c>
      <c r="F535" s="412">
        <v>6</v>
      </c>
      <c r="G535" s="414">
        <v>0.2</v>
      </c>
      <c r="H535" s="1059">
        <f>F535*G535</f>
        <v>1.2000000000000002</v>
      </c>
      <c r="I535" s="1002" t="s">
        <v>810</v>
      </c>
      <c r="J535" s="412">
        <v>2</v>
      </c>
      <c r="K535" s="414">
        <v>1</v>
      </c>
      <c r="L535" s="415">
        <f>L529</f>
        <v>8.75</v>
      </c>
      <c r="M535" s="412">
        <v>1.25</v>
      </c>
      <c r="N535" s="1090">
        <f>K535*L535/M535</f>
        <v>7</v>
      </c>
      <c r="O535" s="1002"/>
      <c r="P535" s="412"/>
      <c r="Q535" s="412"/>
      <c r="R535" s="412"/>
      <c r="S535" s="412"/>
      <c r="T535" s="515"/>
      <c r="U535" s="507"/>
      <c r="V535" s="1005"/>
    </row>
    <row r="536" spans="1:22" ht="12.75">
      <c r="A536" s="1002"/>
      <c r="B536" s="546"/>
      <c r="C536" s="1039"/>
      <c r="D536" s="1002" t="s">
        <v>811</v>
      </c>
      <c r="E536" s="413" t="s">
        <v>1561</v>
      </c>
      <c r="F536" s="412">
        <v>0.2</v>
      </c>
      <c r="G536" s="414">
        <v>5</v>
      </c>
      <c r="H536" s="1059">
        <f>F536*G536</f>
        <v>1</v>
      </c>
      <c r="I536" s="1002" t="s">
        <v>812</v>
      </c>
      <c r="J536" s="412">
        <v>1</v>
      </c>
      <c r="K536" s="414">
        <v>1</v>
      </c>
      <c r="L536" s="415">
        <f>L530</f>
        <v>26.25</v>
      </c>
      <c r="M536" s="412">
        <v>1.25</v>
      </c>
      <c r="N536" s="1090">
        <f>K536*L536/M536</f>
        <v>21</v>
      </c>
      <c r="O536" s="1002"/>
      <c r="P536" s="412"/>
      <c r="Q536" s="412"/>
      <c r="R536" s="412"/>
      <c r="S536" s="412"/>
      <c r="T536" s="515"/>
      <c r="U536" s="507"/>
      <c r="V536" s="1005"/>
    </row>
    <row r="537" spans="1:22" ht="12.75">
      <c r="A537" s="1004"/>
      <c r="B537" s="548"/>
      <c r="C537" s="1040"/>
      <c r="D537" s="1004"/>
      <c r="E537" s="521"/>
      <c r="F537" s="520"/>
      <c r="G537" s="522"/>
      <c r="H537" s="1005">
        <f>SUM(H533:H536)</f>
        <v>349.564</v>
      </c>
      <c r="I537" s="1004"/>
      <c r="J537" s="520"/>
      <c r="K537" s="522"/>
      <c r="L537" s="520"/>
      <c r="M537" s="520"/>
      <c r="N537" s="1005">
        <f>SUM(N533:N536)</f>
        <v>39.86272516025641</v>
      </c>
      <c r="O537" s="1004"/>
      <c r="P537" s="520"/>
      <c r="Q537" s="520"/>
      <c r="R537" s="520"/>
      <c r="S537" s="520"/>
      <c r="T537" s="522">
        <f>SUM(T533:T536)</f>
        <v>4.8</v>
      </c>
      <c r="U537" s="522">
        <f>H537+N537+T537</f>
        <v>394.2267251602564</v>
      </c>
      <c r="V537" s="1005">
        <f>U537*$U$4</f>
        <v>531.5534563341796</v>
      </c>
    </row>
    <row r="538" spans="1:22" ht="12.75">
      <c r="A538" s="1002"/>
      <c r="B538" s="546"/>
      <c r="C538" s="1039"/>
      <c r="D538" s="1002"/>
      <c r="E538" s="413"/>
      <c r="F538" s="412"/>
      <c r="G538" s="414"/>
      <c r="H538" s="1057"/>
      <c r="I538" s="1002"/>
      <c r="J538" s="412"/>
      <c r="K538" s="414"/>
      <c r="L538" s="412"/>
      <c r="M538" s="412"/>
      <c r="N538" s="1091"/>
      <c r="O538" s="1002"/>
      <c r="P538" s="412"/>
      <c r="Q538" s="412"/>
      <c r="R538" s="412"/>
      <c r="S538" s="412"/>
      <c r="T538" s="514"/>
      <c r="U538" s="507"/>
      <c r="V538" s="1005"/>
    </row>
    <row r="539" spans="1:22" ht="12.75">
      <c r="A539" s="1002">
        <v>5</v>
      </c>
      <c r="B539" s="546" t="s">
        <v>804</v>
      </c>
      <c r="C539" s="1039" t="s">
        <v>92</v>
      </c>
      <c r="D539" s="1002" t="s">
        <v>805</v>
      </c>
      <c r="E539" s="413" t="s">
        <v>2557</v>
      </c>
      <c r="F539" s="412">
        <v>1.05</v>
      </c>
      <c r="G539" s="414">
        <f>'Material price'!D254</f>
        <v>42.03</v>
      </c>
      <c r="H539" s="1059">
        <f>F539*G539</f>
        <v>44.1315</v>
      </c>
      <c r="I539" s="1002" t="s">
        <v>275</v>
      </c>
      <c r="J539" s="412">
        <v>1</v>
      </c>
      <c r="K539" s="414">
        <v>0.25</v>
      </c>
      <c r="L539" s="415">
        <f>L533</f>
        <v>20.81362580128205</v>
      </c>
      <c r="M539" s="414">
        <v>1</v>
      </c>
      <c r="N539" s="1090">
        <f>K539*L539/M539</f>
        <v>5.203406450320513</v>
      </c>
      <c r="O539" s="1002" t="s">
        <v>277</v>
      </c>
      <c r="P539" s="412">
        <v>2</v>
      </c>
      <c r="Q539" s="412">
        <v>1</v>
      </c>
      <c r="R539" s="414">
        <v>3</v>
      </c>
      <c r="S539" s="414">
        <v>1</v>
      </c>
      <c r="T539" s="515">
        <f>P539*Q539*R539/S539</f>
        <v>6</v>
      </c>
      <c r="U539" s="507"/>
      <c r="V539" s="1005"/>
    </row>
    <row r="540" spans="1:22" ht="12.75">
      <c r="A540" s="1002"/>
      <c r="B540" s="546" t="s">
        <v>813</v>
      </c>
      <c r="C540" s="1039"/>
      <c r="D540" s="1002" t="s">
        <v>806</v>
      </c>
      <c r="E540" s="413" t="s">
        <v>1352</v>
      </c>
      <c r="F540" s="412">
        <v>12</v>
      </c>
      <c r="G540" s="414">
        <v>0.05</v>
      </c>
      <c r="H540" s="1059">
        <f>F540*G540</f>
        <v>0.6000000000000001</v>
      </c>
      <c r="I540" s="1002" t="s">
        <v>808</v>
      </c>
      <c r="J540" s="412">
        <v>1</v>
      </c>
      <c r="K540" s="414">
        <v>1</v>
      </c>
      <c r="L540" s="415">
        <f>L534</f>
        <v>9.625</v>
      </c>
      <c r="M540" s="414">
        <v>1</v>
      </c>
      <c r="N540" s="1090">
        <f>K540*L540/M540</f>
        <v>9.625</v>
      </c>
      <c r="O540" s="1002"/>
      <c r="P540" s="412"/>
      <c r="Q540" s="412"/>
      <c r="R540" s="412"/>
      <c r="S540" s="412"/>
      <c r="T540" s="514"/>
      <c r="U540" s="507"/>
      <c r="V540" s="1005"/>
    </row>
    <row r="541" spans="1:22" ht="12.75">
      <c r="A541" s="1002"/>
      <c r="B541" s="546"/>
      <c r="C541" s="1039"/>
      <c r="D541" s="1002" t="s">
        <v>809</v>
      </c>
      <c r="E541" s="413" t="s">
        <v>1352</v>
      </c>
      <c r="F541" s="412">
        <v>6</v>
      </c>
      <c r="G541" s="414">
        <v>0.3</v>
      </c>
      <c r="H541" s="1059">
        <f>F541*G541</f>
        <v>1.7999999999999998</v>
      </c>
      <c r="I541" s="1002" t="s">
        <v>810</v>
      </c>
      <c r="J541" s="412">
        <v>2</v>
      </c>
      <c r="K541" s="414">
        <v>1</v>
      </c>
      <c r="L541" s="415">
        <f>L535</f>
        <v>8.75</v>
      </c>
      <c r="M541" s="414">
        <v>1</v>
      </c>
      <c r="N541" s="1090">
        <f>K541*L541/M541</f>
        <v>8.75</v>
      </c>
      <c r="O541" s="1002"/>
      <c r="P541" s="412"/>
      <c r="Q541" s="412"/>
      <c r="R541" s="412"/>
      <c r="S541" s="412"/>
      <c r="T541" s="514"/>
      <c r="U541" s="507"/>
      <c r="V541" s="1005"/>
    </row>
    <row r="542" spans="1:22" ht="12.75">
      <c r="A542" s="1002"/>
      <c r="B542" s="546"/>
      <c r="C542" s="1039"/>
      <c r="D542" s="1002" t="s">
        <v>811</v>
      </c>
      <c r="E542" s="413" t="s">
        <v>1561</v>
      </c>
      <c r="F542" s="412">
        <v>0.2</v>
      </c>
      <c r="G542" s="414">
        <v>3.5</v>
      </c>
      <c r="H542" s="1059">
        <f>F542*G542</f>
        <v>0.7000000000000001</v>
      </c>
      <c r="I542" s="1002" t="s">
        <v>812</v>
      </c>
      <c r="J542" s="412">
        <v>1</v>
      </c>
      <c r="K542" s="414">
        <v>1</v>
      </c>
      <c r="L542" s="415">
        <f>L536</f>
        <v>26.25</v>
      </c>
      <c r="M542" s="414">
        <v>1</v>
      </c>
      <c r="N542" s="1090">
        <f>K542*L542/M542</f>
        <v>26.25</v>
      </c>
      <c r="O542" s="1002"/>
      <c r="P542" s="412"/>
      <c r="Q542" s="412"/>
      <c r="R542" s="412"/>
      <c r="S542" s="412"/>
      <c r="T542" s="514"/>
      <c r="U542" s="507"/>
      <c r="V542" s="1005"/>
    </row>
    <row r="543" spans="1:22" ht="12.75">
      <c r="A543" s="1013"/>
      <c r="B543" s="1032"/>
      <c r="C543" s="1051"/>
      <c r="D543" s="1013"/>
      <c r="E543" s="542"/>
      <c r="F543" s="522"/>
      <c r="G543" s="522"/>
      <c r="H543" s="1005">
        <f>SUM(H539:H542)</f>
        <v>47.231500000000004</v>
      </c>
      <c r="I543" s="1013"/>
      <c r="J543" s="522"/>
      <c r="K543" s="522"/>
      <c r="L543" s="522"/>
      <c r="M543" s="522"/>
      <c r="N543" s="1005">
        <f>SUM(N539:N542)</f>
        <v>49.828406450320514</v>
      </c>
      <c r="O543" s="1013"/>
      <c r="P543" s="522"/>
      <c r="Q543" s="522"/>
      <c r="R543" s="522"/>
      <c r="S543" s="522"/>
      <c r="T543" s="522">
        <f>SUM(T539:T542)</f>
        <v>6</v>
      </c>
      <c r="U543" s="522">
        <f>H543+N543+T543</f>
        <v>103.05990645032051</v>
      </c>
      <c r="V543" s="1005">
        <f>U543*$U$4</f>
        <v>138.9602631857995</v>
      </c>
    </row>
    <row r="544" spans="1:22" ht="12.75">
      <c r="A544" s="1002"/>
      <c r="B544" s="546"/>
      <c r="C544" s="1039"/>
      <c r="D544" s="1002"/>
      <c r="E544" s="413"/>
      <c r="F544" s="412"/>
      <c r="G544" s="414"/>
      <c r="H544" s="1057"/>
      <c r="I544" s="1002"/>
      <c r="J544" s="412"/>
      <c r="K544" s="414"/>
      <c r="L544" s="412"/>
      <c r="M544" s="412"/>
      <c r="N544" s="1091"/>
      <c r="O544" s="1002"/>
      <c r="P544" s="412"/>
      <c r="Q544" s="412"/>
      <c r="R544" s="412"/>
      <c r="S544" s="412"/>
      <c r="T544" s="514"/>
      <c r="U544" s="507"/>
      <c r="V544" s="1005"/>
    </row>
    <row r="545" spans="1:22" ht="12.75">
      <c r="A545" s="1002">
        <v>6</v>
      </c>
      <c r="B545" s="546" t="s">
        <v>804</v>
      </c>
      <c r="C545" s="1039" t="s">
        <v>92</v>
      </c>
      <c r="D545" s="1002" t="s">
        <v>805</v>
      </c>
      <c r="E545" s="413" t="s">
        <v>2557</v>
      </c>
      <c r="F545" s="412">
        <v>1.05</v>
      </c>
      <c r="G545" s="414">
        <f>'Material price'!D255</f>
        <v>50.72</v>
      </c>
      <c r="H545" s="1059">
        <f>F545*G545</f>
        <v>53.256</v>
      </c>
      <c r="I545" s="1002" t="s">
        <v>275</v>
      </c>
      <c r="J545" s="412">
        <v>1</v>
      </c>
      <c r="K545" s="414">
        <v>0.25</v>
      </c>
      <c r="L545" s="415">
        <f>L539</f>
        <v>20.81362580128205</v>
      </c>
      <c r="M545" s="412">
        <v>0.75</v>
      </c>
      <c r="N545" s="1090">
        <f>K545*L545/M545</f>
        <v>6.937875267094017</v>
      </c>
      <c r="O545" s="1002" t="s">
        <v>277</v>
      </c>
      <c r="P545" s="412">
        <v>2</v>
      </c>
      <c r="Q545" s="412">
        <v>1</v>
      </c>
      <c r="R545" s="414">
        <v>3</v>
      </c>
      <c r="S545" s="412">
        <v>0.75</v>
      </c>
      <c r="T545" s="515">
        <f>P545*Q545*R545/S545</f>
        <v>8</v>
      </c>
      <c r="U545" s="507"/>
      <c r="V545" s="1005"/>
    </row>
    <row r="546" spans="1:22" ht="12.75">
      <c r="A546" s="1002"/>
      <c r="B546" s="546" t="s">
        <v>1353</v>
      </c>
      <c r="C546" s="1039"/>
      <c r="D546" s="1002" t="s">
        <v>806</v>
      </c>
      <c r="E546" s="413" t="s">
        <v>1352</v>
      </c>
      <c r="F546" s="414">
        <v>12</v>
      </c>
      <c r="G546" s="414">
        <v>0.07</v>
      </c>
      <c r="H546" s="1059">
        <f>F546*G546</f>
        <v>0.8400000000000001</v>
      </c>
      <c r="I546" s="1002" t="s">
        <v>808</v>
      </c>
      <c r="J546" s="412">
        <v>1</v>
      </c>
      <c r="K546" s="414">
        <v>1</v>
      </c>
      <c r="L546" s="415">
        <f>L540</f>
        <v>9.625</v>
      </c>
      <c r="M546" s="412">
        <v>0.75</v>
      </c>
      <c r="N546" s="1090">
        <f>K546*L546/M546</f>
        <v>12.833333333333334</v>
      </c>
      <c r="O546" s="1002"/>
      <c r="P546" s="412"/>
      <c r="Q546" s="412"/>
      <c r="R546" s="412"/>
      <c r="S546" s="412"/>
      <c r="T546" s="514"/>
      <c r="U546" s="507"/>
      <c r="V546" s="1005"/>
    </row>
    <row r="547" spans="1:22" ht="12.75">
      <c r="A547" s="1002"/>
      <c r="B547" s="546"/>
      <c r="C547" s="1039"/>
      <c r="D547" s="1002" t="s">
        <v>809</v>
      </c>
      <c r="E547" s="413" t="s">
        <v>1352</v>
      </c>
      <c r="F547" s="414">
        <v>6</v>
      </c>
      <c r="G547" s="414">
        <v>0.5</v>
      </c>
      <c r="H547" s="1059">
        <f>F547*G547</f>
        <v>3</v>
      </c>
      <c r="I547" s="1002" t="s">
        <v>810</v>
      </c>
      <c r="J547" s="412">
        <v>2</v>
      </c>
      <c r="K547" s="414">
        <v>1</v>
      </c>
      <c r="L547" s="415">
        <f>L541</f>
        <v>8.75</v>
      </c>
      <c r="M547" s="412">
        <v>0.75</v>
      </c>
      <c r="N547" s="1090">
        <f>K547*L547/M547</f>
        <v>11.666666666666666</v>
      </c>
      <c r="O547" s="1002"/>
      <c r="P547" s="412"/>
      <c r="Q547" s="412"/>
      <c r="R547" s="412"/>
      <c r="S547" s="412"/>
      <c r="T547" s="514"/>
      <c r="U547" s="507"/>
      <c r="V547" s="1005"/>
    </row>
    <row r="548" spans="1:22" ht="12.75">
      <c r="A548" s="1002"/>
      <c r="B548" s="546"/>
      <c r="C548" s="1039"/>
      <c r="D548" s="1002" t="s">
        <v>811</v>
      </c>
      <c r="E548" s="413" t="s">
        <v>1561</v>
      </c>
      <c r="F548" s="412">
        <v>0.2</v>
      </c>
      <c r="G548" s="414">
        <v>6</v>
      </c>
      <c r="H548" s="1059">
        <f>F548*G548</f>
        <v>1.2000000000000002</v>
      </c>
      <c r="I548" s="1002" t="s">
        <v>812</v>
      </c>
      <c r="J548" s="412">
        <v>1</v>
      </c>
      <c r="K548" s="414">
        <v>1</v>
      </c>
      <c r="L548" s="415">
        <f>L542</f>
        <v>26.25</v>
      </c>
      <c r="M548" s="412">
        <v>0.75</v>
      </c>
      <c r="N548" s="1090">
        <f>K548*L548/M548</f>
        <v>35</v>
      </c>
      <c r="O548" s="1002"/>
      <c r="P548" s="412"/>
      <c r="Q548" s="412"/>
      <c r="R548" s="412"/>
      <c r="S548" s="412"/>
      <c r="T548" s="514"/>
      <c r="U548" s="507"/>
      <c r="V548" s="1005"/>
    </row>
    <row r="549" spans="1:22" ht="12.75">
      <c r="A549" s="1004"/>
      <c r="B549" s="548"/>
      <c r="C549" s="1040"/>
      <c r="D549" s="1004"/>
      <c r="E549" s="521"/>
      <c r="F549" s="520"/>
      <c r="G549" s="522"/>
      <c r="H549" s="1005">
        <f>SUM(H545:H548)</f>
        <v>58.29600000000001</v>
      </c>
      <c r="I549" s="1004"/>
      <c r="J549" s="520"/>
      <c r="K549" s="522"/>
      <c r="L549" s="520"/>
      <c r="M549" s="520"/>
      <c r="N549" s="1005">
        <f>SUM(N545:N548)</f>
        <v>66.43787526709401</v>
      </c>
      <c r="O549" s="1004"/>
      <c r="P549" s="520"/>
      <c r="Q549" s="520"/>
      <c r="R549" s="520"/>
      <c r="S549" s="520"/>
      <c r="T549" s="522">
        <f>SUM(T545:T548)</f>
        <v>8</v>
      </c>
      <c r="U549" s="522">
        <f>H549+N549+T549</f>
        <v>132.73387526709402</v>
      </c>
      <c r="V549" s="1005">
        <f>U549*$U$4</f>
        <v>178.97099731676602</v>
      </c>
    </row>
    <row r="550" spans="1:22" ht="12.75">
      <c r="A550" s="1002">
        <v>7</v>
      </c>
      <c r="B550" s="546" t="s">
        <v>1354</v>
      </c>
      <c r="C550" s="1039"/>
      <c r="D550" s="1002"/>
      <c r="E550" s="413"/>
      <c r="F550" s="412"/>
      <c r="G550" s="414"/>
      <c r="H550" s="1057"/>
      <c r="I550" s="1002"/>
      <c r="J550" s="412"/>
      <c r="K550" s="414"/>
      <c r="L550" s="412"/>
      <c r="M550" s="412"/>
      <c r="N550" s="1091"/>
      <c r="O550" s="1002"/>
      <c r="P550" s="412"/>
      <c r="Q550" s="412"/>
      <c r="R550" s="412"/>
      <c r="S550" s="412"/>
      <c r="T550" s="514"/>
      <c r="U550" s="507"/>
      <c r="V550" s="694"/>
    </row>
    <row r="551" spans="1:22" ht="12.75">
      <c r="A551" s="1002"/>
      <c r="B551" s="546" t="s">
        <v>1353</v>
      </c>
      <c r="C551" s="1039" t="s">
        <v>92</v>
      </c>
      <c r="D551" s="1002" t="s">
        <v>805</v>
      </c>
      <c r="E551" s="413" t="s">
        <v>2557</v>
      </c>
      <c r="F551" s="412">
        <v>1.05</v>
      </c>
      <c r="G551" s="414">
        <f>'Material price'!D264</f>
        <v>11.666666666666666</v>
      </c>
      <c r="H551" s="1059">
        <f>F551*G551</f>
        <v>12.25</v>
      </c>
      <c r="I551" s="1002" t="s">
        <v>275</v>
      </c>
      <c r="J551" s="412">
        <v>1</v>
      </c>
      <c r="K551" s="414">
        <v>0.25</v>
      </c>
      <c r="L551" s="415">
        <f>L545</f>
        <v>20.81362580128205</v>
      </c>
      <c r="M551" s="414">
        <v>2.5</v>
      </c>
      <c r="N551" s="1090">
        <f>K551*L551/M551</f>
        <v>2.081362580128205</v>
      </c>
      <c r="O551" s="1002" t="s">
        <v>277</v>
      </c>
      <c r="P551" s="412">
        <v>2</v>
      </c>
      <c r="Q551" s="412">
        <v>1</v>
      </c>
      <c r="R551" s="414">
        <v>3</v>
      </c>
      <c r="S551" s="412">
        <v>2.5</v>
      </c>
      <c r="T551" s="515">
        <f>P551*Q551*R551/S551</f>
        <v>2.4</v>
      </c>
      <c r="U551" s="507"/>
      <c r="V551" s="694"/>
    </row>
    <row r="552" spans="1:22" ht="12.75">
      <c r="A552" s="1002"/>
      <c r="B552" s="546"/>
      <c r="C552" s="1039"/>
      <c r="D552" s="1002" t="s">
        <v>811</v>
      </c>
      <c r="E552" s="413" t="s">
        <v>2556</v>
      </c>
      <c r="F552" s="414">
        <v>1</v>
      </c>
      <c r="G552" s="414">
        <f>'Material price'!D273</f>
        <v>12.14</v>
      </c>
      <c r="H552" s="1059">
        <f>F552*G552</f>
        <v>12.14</v>
      </c>
      <c r="I552" s="1002" t="s">
        <v>808</v>
      </c>
      <c r="J552" s="412">
        <v>1</v>
      </c>
      <c r="K552" s="414">
        <v>1</v>
      </c>
      <c r="L552" s="415">
        <f>L546</f>
        <v>9.625</v>
      </c>
      <c r="M552" s="414">
        <v>2.5</v>
      </c>
      <c r="N552" s="1090">
        <f>K552*L552/M552</f>
        <v>3.85</v>
      </c>
      <c r="O552" s="1002"/>
      <c r="P552" s="412"/>
      <c r="Q552" s="412"/>
      <c r="R552" s="412"/>
      <c r="S552" s="412"/>
      <c r="T552" s="514"/>
      <c r="U552" s="507"/>
      <c r="V552" s="694"/>
    </row>
    <row r="553" spans="1:22" ht="12.75">
      <c r="A553" s="1002"/>
      <c r="B553" s="546"/>
      <c r="C553" s="1039"/>
      <c r="D553" s="1002" t="s">
        <v>1355</v>
      </c>
      <c r="E553" s="413" t="s">
        <v>3099</v>
      </c>
      <c r="F553" s="412">
        <v>0.12</v>
      </c>
      <c r="G553" s="414">
        <v>42.3</v>
      </c>
      <c r="H553" s="1059">
        <f>F553*G553</f>
        <v>5.076</v>
      </c>
      <c r="I553" s="1002" t="s">
        <v>810</v>
      </c>
      <c r="J553" s="412">
        <v>2</v>
      </c>
      <c r="K553" s="414">
        <v>1</v>
      </c>
      <c r="L553" s="415">
        <f>L547</f>
        <v>8.75</v>
      </c>
      <c r="M553" s="414">
        <v>2.5</v>
      </c>
      <c r="N553" s="1090">
        <f>K553*L553/M553</f>
        <v>3.5</v>
      </c>
      <c r="O553" s="1002"/>
      <c r="P553" s="412"/>
      <c r="Q553" s="412"/>
      <c r="R553" s="412"/>
      <c r="S553" s="412"/>
      <c r="T553" s="514"/>
      <c r="U553" s="507"/>
      <c r="V553" s="694"/>
    </row>
    <row r="554" spans="1:22" ht="12.75">
      <c r="A554" s="1004"/>
      <c r="B554" s="548"/>
      <c r="C554" s="1040"/>
      <c r="D554" s="1004"/>
      <c r="E554" s="521"/>
      <c r="F554" s="520"/>
      <c r="G554" s="522"/>
      <c r="H554" s="1005">
        <f>SUM(H551:H553)</f>
        <v>29.466</v>
      </c>
      <c r="I554" s="1004"/>
      <c r="J554" s="520"/>
      <c r="K554" s="522"/>
      <c r="L554" s="520"/>
      <c r="M554" s="520"/>
      <c r="N554" s="1005">
        <f>SUM(N551:N553)</f>
        <v>9.431362580128205</v>
      </c>
      <c r="O554" s="1004"/>
      <c r="P554" s="520"/>
      <c r="Q554" s="520"/>
      <c r="R554" s="520"/>
      <c r="S554" s="520"/>
      <c r="T554" s="522">
        <f>SUM(T551:T553)</f>
        <v>2.4</v>
      </c>
      <c r="U554" s="522">
        <f>T554+N554+H554</f>
        <v>41.29736258012821</v>
      </c>
      <c r="V554" s="1005">
        <f>U554*$U$4</f>
        <v>55.68307376428981</v>
      </c>
    </row>
    <row r="555" spans="1:22" ht="12.75">
      <c r="A555" s="1002"/>
      <c r="B555" s="546"/>
      <c r="C555" s="1039"/>
      <c r="D555" s="1002"/>
      <c r="E555" s="413"/>
      <c r="F555" s="412"/>
      <c r="G555" s="414"/>
      <c r="H555" s="1057"/>
      <c r="I555" s="1002"/>
      <c r="J555" s="412"/>
      <c r="K555" s="414"/>
      <c r="L555" s="412"/>
      <c r="M555" s="412"/>
      <c r="N555" s="1091"/>
      <c r="O555" s="1002"/>
      <c r="P555" s="412"/>
      <c r="Q555" s="412"/>
      <c r="R555" s="412"/>
      <c r="S555" s="412"/>
      <c r="T555" s="514"/>
      <c r="U555" s="507"/>
      <c r="V555" s="694"/>
    </row>
    <row r="556" spans="1:22" ht="12.75">
      <c r="A556" s="1002">
        <v>8</v>
      </c>
      <c r="B556" s="546" t="s">
        <v>1140</v>
      </c>
      <c r="C556" s="1039" t="s">
        <v>92</v>
      </c>
      <c r="D556" s="1002" t="s">
        <v>805</v>
      </c>
      <c r="E556" s="413" t="s">
        <v>2557</v>
      </c>
      <c r="F556" s="412">
        <v>1.05</v>
      </c>
      <c r="G556" s="414">
        <f>'Material price'!D266</f>
        <v>30</v>
      </c>
      <c r="H556" s="1059">
        <f>F556*G556</f>
        <v>31.5</v>
      </c>
      <c r="I556" s="1002" t="s">
        <v>275</v>
      </c>
      <c r="J556" s="412">
        <v>1</v>
      </c>
      <c r="K556" s="414">
        <v>0.25</v>
      </c>
      <c r="L556" s="415">
        <f>L545</f>
        <v>20.81362580128205</v>
      </c>
      <c r="M556" s="414">
        <v>2</v>
      </c>
      <c r="N556" s="1090">
        <f>K556*L556/M556</f>
        <v>2.6017032251602563</v>
      </c>
      <c r="O556" s="1002" t="s">
        <v>277</v>
      </c>
      <c r="P556" s="412">
        <v>2</v>
      </c>
      <c r="Q556" s="412">
        <v>1</v>
      </c>
      <c r="R556" s="414">
        <v>3</v>
      </c>
      <c r="S556" s="414">
        <v>2</v>
      </c>
      <c r="T556" s="515">
        <f>P556*Q556*R556/S556</f>
        <v>3</v>
      </c>
      <c r="U556" s="507"/>
      <c r="V556" s="694"/>
    </row>
    <row r="557" spans="1:22" ht="12.75">
      <c r="A557" s="1002"/>
      <c r="B557" s="546"/>
      <c r="C557" s="1039"/>
      <c r="D557" s="1002" t="s">
        <v>811</v>
      </c>
      <c r="E557" s="413" t="s">
        <v>2556</v>
      </c>
      <c r="F557" s="414">
        <v>1</v>
      </c>
      <c r="G557" s="414">
        <f>'Material price'!D274</f>
        <v>22.48</v>
      </c>
      <c r="H557" s="1059">
        <f>F557*G557</f>
        <v>22.48</v>
      </c>
      <c r="I557" s="1002" t="s">
        <v>808</v>
      </c>
      <c r="J557" s="412">
        <v>1</v>
      </c>
      <c r="K557" s="414">
        <v>1</v>
      </c>
      <c r="L557" s="415">
        <f>L546</f>
        <v>9.625</v>
      </c>
      <c r="M557" s="414">
        <v>2</v>
      </c>
      <c r="N557" s="1090">
        <f>K557*L557/M557</f>
        <v>4.8125</v>
      </c>
      <c r="O557" s="1002"/>
      <c r="P557" s="412"/>
      <c r="Q557" s="412"/>
      <c r="R557" s="412"/>
      <c r="S557" s="412"/>
      <c r="T557" s="515"/>
      <c r="U557" s="507"/>
      <c r="V557" s="694"/>
    </row>
    <row r="558" spans="1:22" ht="12.75">
      <c r="A558" s="1002"/>
      <c r="B558" s="546"/>
      <c r="C558" s="1039"/>
      <c r="D558" s="1002" t="s">
        <v>1355</v>
      </c>
      <c r="E558" s="413" t="s">
        <v>3099</v>
      </c>
      <c r="F558" s="412">
        <v>0.12</v>
      </c>
      <c r="G558" s="414">
        <v>42.3</v>
      </c>
      <c r="H558" s="1059">
        <f>F558*G558</f>
        <v>5.076</v>
      </c>
      <c r="I558" s="1002" t="s">
        <v>810</v>
      </c>
      <c r="J558" s="412">
        <v>2</v>
      </c>
      <c r="K558" s="414">
        <v>1</v>
      </c>
      <c r="L558" s="415">
        <f>L547</f>
        <v>8.75</v>
      </c>
      <c r="M558" s="414">
        <v>2</v>
      </c>
      <c r="N558" s="1090">
        <f>K558*L558/M558</f>
        <v>4.375</v>
      </c>
      <c r="O558" s="1002"/>
      <c r="P558" s="412"/>
      <c r="Q558" s="412"/>
      <c r="R558" s="412"/>
      <c r="S558" s="412"/>
      <c r="T558" s="515"/>
      <c r="U558" s="507"/>
      <c r="V558" s="694"/>
    </row>
    <row r="559" spans="1:22" ht="12.75">
      <c r="A559" s="1004"/>
      <c r="B559" s="548"/>
      <c r="C559" s="1040"/>
      <c r="D559" s="1004"/>
      <c r="E559" s="521"/>
      <c r="F559" s="520"/>
      <c r="G559" s="522"/>
      <c r="H559" s="1005">
        <f>SUM(H556:H558)</f>
        <v>59.056000000000004</v>
      </c>
      <c r="I559" s="1004"/>
      <c r="J559" s="520"/>
      <c r="K559" s="522"/>
      <c r="L559" s="520"/>
      <c r="M559" s="520"/>
      <c r="N559" s="1005">
        <f>SUM(N556:N558)</f>
        <v>11.789203225160257</v>
      </c>
      <c r="O559" s="1004"/>
      <c r="P559" s="520"/>
      <c r="Q559" s="520"/>
      <c r="R559" s="520"/>
      <c r="S559" s="520"/>
      <c r="T559" s="522">
        <f>SUM(T556:T558)</f>
        <v>3</v>
      </c>
      <c r="U559" s="522">
        <f>T559+N559+H559</f>
        <v>73.84520322516026</v>
      </c>
      <c r="V559" s="1005">
        <f>U559*$U$4</f>
        <v>99.56877731228725</v>
      </c>
    </row>
    <row r="560" spans="1:22" ht="12.75">
      <c r="A560" s="1002"/>
      <c r="B560" s="546"/>
      <c r="C560" s="1039"/>
      <c r="D560" s="1002"/>
      <c r="E560" s="413"/>
      <c r="F560" s="412"/>
      <c r="G560" s="414"/>
      <c r="H560" s="1057"/>
      <c r="I560" s="1002"/>
      <c r="J560" s="412"/>
      <c r="K560" s="414"/>
      <c r="L560" s="412"/>
      <c r="M560" s="412"/>
      <c r="N560" s="1090"/>
      <c r="O560" s="1002"/>
      <c r="P560" s="412"/>
      <c r="Q560" s="412"/>
      <c r="R560" s="412"/>
      <c r="S560" s="412"/>
      <c r="T560" s="514"/>
      <c r="U560" s="508"/>
      <c r="V560" s="694"/>
    </row>
    <row r="561" spans="1:22" ht="12.75">
      <c r="A561" s="1002">
        <v>9</v>
      </c>
      <c r="B561" s="546" t="s">
        <v>1356</v>
      </c>
      <c r="C561" s="1039" t="s">
        <v>1561</v>
      </c>
      <c r="D561" s="1002" t="s">
        <v>1358</v>
      </c>
      <c r="E561" s="413" t="s">
        <v>2556</v>
      </c>
      <c r="F561" s="412">
        <v>1.05</v>
      </c>
      <c r="G561" s="414">
        <f>'Material price'!D242</f>
        <v>15</v>
      </c>
      <c r="H561" s="1063">
        <f>F561*G561</f>
        <v>15.75</v>
      </c>
      <c r="I561" s="1002" t="s">
        <v>275</v>
      </c>
      <c r="J561" s="412">
        <v>1</v>
      </c>
      <c r="K561" s="414">
        <v>0.25</v>
      </c>
      <c r="L561" s="415">
        <f>L556</f>
        <v>20.81362580128205</v>
      </c>
      <c r="M561" s="414">
        <v>4</v>
      </c>
      <c r="N561" s="1090">
        <f>K561*L561/M561</f>
        <v>1.3008516125801282</v>
      </c>
      <c r="O561" s="1002" t="s">
        <v>277</v>
      </c>
      <c r="P561" s="412">
        <v>2</v>
      </c>
      <c r="Q561" s="412">
        <v>1</v>
      </c>
      <c r="R561" s="414">
        <v>0.4</v>
      </c>
      <c r="S561" s="414">
        <v>4</v>
      </c>
      <c r="T561" s="515">
        <f>P561*Q561*R561/S561</f>
        <v>0.2</v>
      </c>
      <c r="U561" s="508"/>
      <c r="V561" s="694"/>
    </row>
    <row r="562" spans="1:22" ht="12.75">
      <c r="A562" s="1002"/>
      <c r="B562" s="546" t="s">
        <v>1357</v>
      </c>
      <c r="C562" s="1039"/>
      <c r="D562" s="1002" t="s">
        <v>806</v>
      </c>
      <c r="E562" s="413" t="s">
        <v>3099</v>
      </c>
      <c r="F562" s="412">
        <v>0.04</v>
      </c>
      <c r="G562" s="414">
        <v>0.03</v>
      </c>
      <c r="H562" s="1063">
        <f>F562*G562</f>
        <v>0.0012</v>
      </c>
      <c r="I562" s="1002" t="s">
        <v>808</v>
      </c>
      <c r="J562" s="412">
        <v>1</v>
      </c>
      <c r="K562" s="414">
        <v>1</v>
      </c>
      <c r="L562" s="415">
        <f>L557</f>
        <v>9.625</v>
      </c>
      <c r="M562" s="414">
        <v>4</v>
      </c>
      <c r="N562" s="1090">
        <f>K562*L562/M562</f>
        <v>2.40625</v>
      </c>
      <c r="O562" s="1002"/>
      <c r="P562" s="412"/>
      <c r="Q562" s="412"/>
      <c r="R562" s="412"/>
      <c r="S562" s="412"/>
      <c r="T562" s="515"/>
      <c r="U562" s="508"/>
      <c r="V562" s="694"/>
    </row>
    <row r="563" spans="1:22" ht="12.75">
      <c r="A563" s="1002"/>
      <c r="B563" s="546"/>
      <c r="C563" s="1039"/>
      <c r="D563" s="1002" t="s">
        <v>809</v>
      </c>
      <c r="E563" s="413" t="s">
        <v>3099</v>
      </c>
      <c r="F563" s="412">
        <v>0.02</v>
      </c>
      <c r="G563" s="414">
        <v>0.2</v>
      </c>
      <c r="H563" s="1063">
        <f>F563*G563</f>
        <v>0.004</v>
      </c>
      <c r="I563" s="1002" t="s">
        <v>810</v>
      </c>
      <c r="J563" s="412">
        <v>2</v>
      </c>
      <c r="K563" s="414">
        <v>1</v>
      </c>
      <c r="L563" s="415">
        <f>L558</f>
        <v>8.75</v>
      </c>
      <c r="M563" s="414">
        <v>4</v>
      </c>
      <c r="N563" s="1090">
        <f>K563*L563/M563</f>
        <v>2.1875</v>
      </c>
      <c r="O563" s="1002"/>
      <c r="P563" s="412"/>
      <c r="Q563" s="412"/>
      <c r="R563" s="412"/>
      <c r="S563" s="412"/>
      <c r="T563" s="515"/>
      <c r="U563" s="508"/>
      <c r="V563" s="694"/>
    </row>
    <row r="564" spans="1:22" ht="12.75">
      <c r="A564" s="1004"/>
      <c r="B564" s="548"/>
      <c r="C564" s="1040"/>
      <c r="D564" s="1004"/>
      <c r="E564" s="521"/>
      <c r="F564" s="520"/>
      <c r="G564" s="522"/>
      <c r="H564" s="1005">
        <f>SUM(H561:H563)</f>
        <v>15.7552</v>
      </c>
      <c r="I564" s="1004"/>
      <c r="J564" s="520"/>
      <c r="K564" s="522"/>
      <c r="L564" s="520"/>
      <c r="M564" s="520"/>
      <c r="N564" s="1005">
        <f>SUM(N561:N563)</f>
        <v>5.894601612580129</v>
      </c>
      <c r="O564" s="1004"/>
      <c r="P564" s="520"/>
      <c r="Q564" s="520"/>
      <c r="R564" s="520"/>
      <c r="S564" s="520"/>
      <c r="T564" s="522">
        <f>SUM(T561:T563)</f>
        <v>0.2</v>
      </c>
      <c r="U564" s="522">
        <f>T564+N564+H564</f>
        <v>21.84980161258013</v>
      </c>
      <c r="V564" s="1005">
        <f>U564*$U$4</f>
        <v>29.46106092290363</v>
      </c>
    </row>
    <row r="565" spans="1:22" ht="12.75">
      <c r="A565" s="1002"/>
      <c r="B565" s="546"/>
      <c r="C565" s="1039"/>
      <c r="D565" s="1002"/>
      <c r="E565" s="413"/>
      <c r="F565" s="412"/>
      <c r="G565" s="414"/>
      <c r="H565" s="1057"/>
      <c r="I565" s="1002"/>
      <c r="J565" s="412"/>
      <c r="K565" s="414"/>
      <c r="L565" s="412"/>
      <c r="M565" s="412"/>
      <c r="N565" s="1090"/>
      <c r="O565" s="1002"/>
      <c r="P565" s="412"/>
      <c r="Q565" s="412"/>
      <c r="R565" s="412"/>
      <c r="S565" s="412"/>
      <c r="T565" s="514"/>
      <c r="U565" s="508"/>
      <c r="V565" s="694"/>
    </row>
    <row r="566" spans="1:22" ht="12.75">
      <c r="A566" s="1002">
        <v>10</v>
      </c>
      <c r="B566" s="546" t="s">
        <v>1356</v>
      </c>
      <c r="C566" s="1039" t="s">
        <v>1561</v>
      </c>
      <c r="D566" s="1002" t="s">
        <v>1358</v>
      </c>
      <c r="E566" s="413" t="s">
        <v>2556</v>
      </c>
      <c r="F566" s="412">
        <v>1</v>
      </c>
      <c r="G566" s="414">
        <f>'Material price'!D243</f>
        <v>313.09000000000003</v>
      </c>
      <c r="H566" s="1057">
        <f>F566*G566</f>
        <v>313.09000000000003</v>
      </c>
      <c r="I566" s="1002" t="s">
        <v>275</v>
      </c>
      <c r="J566" s="412">
        <v>1</v>
      </c>
      <c r="K566" s="414">
        <v>0.25</v>
      </c>
      <c r="L566" s="415">
        <f>L556</f>
        <v>20.81362580128205</v>
      </c>
      <c r="M566" s="414">
        <v>4</v>
      </c>
      <c r="N566" s="1090">
        <f>J566*K566*L566/M566</f>
        <v>1.3008516125801282</v>
      </c>
      <c r="O566" s="1002" t="s">
        <v>277</v>
      </c>
      <c r="P566" s="412">
        <v>2</v>
      </c>
      <c r="Q566" s="412">
        <v>1</v>
      </c>
      <c r="R566" s="414">
        <v>3</v>
      </c>
      <c r="S566" s="414">
        <v>4</v>
      </c>
      <c r="T566" s="515">
        <f>P566*Q566*R566/S566</f>
        <v>1.5</v>
      </c>
      <c r="U566" s="508"/>
      <c r="V566" s="694"/>
    </row>
    <row r="567" spans="1:22" ht="12.75">
      <c r="A567" s="1002"/>
      <c r="B567" s="546" t="s">
        <v>1359</v>
      </c>
      <c r="C567" s="1039"/>
      <c r="D567" s="1002" t="s">
        <v>806</v>
      </c>
      <c r="E567" s="413" t="s">
        <v>3099</v>
      </c>
      <c r="F567" s="412">
        <v>0.04</v>
      </c>
      <c r="G567" s="414">
        <v>0.03</v>
      </c>
      <c r="H567" s="1057">
        <f>F567*G567</f>
        <v>0.0012</v>
      </c>
      <c r="I567" s="1002" t="s">
        <v>808</v>
      </c>
      <c r="J567" s="412">
        <v>1</v>
      </c>
      <c r="K567" s="414">
        <v>1</v>
      </c>
      <c r="L567" s="415">
        <f>L557</f>
        <v>9.625</v>
      </c>
      <c r="M567" s="414">
        <v>4</v>
      </c>
      <c r="N567" s="1090">
        <f>J567*K567*L567/M567</f>
        <v>2.40625</v>
      </c>
      <c r="O567" s="1002"/>
      <c r="P567" s="412"/>
      <c r="Q567" s="412"/>
      <c r="R567" s="412"/>
      <c r="S567" s="412"/>
      <c r="T567" s="515"/>
      <c r="U567" s="508"/>
      <c r="V567" s="694"/>
    </row>
    <row r="568" spans="1:22" ht="12.75">
      <c r="A568" s="1002"/>
      <c r="B568" s="546"/>
      <c r="C568" s="1039"/>
      <c r="D568" s="1002" t="s">
        <v>809</v>
      </c>
      <c r="E568" s="413" t="s">
        <v>3099</v>
      </c>
      <c r="F568" s="412">
        <v>0.02</v>
      </c>
      <c r="G568" s="414">
        <v>0.2</v>
      </c>
      <c r="H568" s="1057">
        <f>F568*G568</f>
        <v>0.004</v>
      </c>
      <c r="I568" s="1002" t="s">
        <v>810</v>
      </c>
      <c r="J568" s="412">
        <v>2</v>
      </c>
      <c r="K568" s="414">
        <v>1</v>
      </c>
      <c r="L568" s="415">
        <f>L558</f>
        <v>8.75</v>
      </c>
      <c r="M568" s="414">
        <v>4</v>
      </c>
      <c r="N568" s="1090">
        <f>J568*K568*L568/M568</f>
        <v>4.375</v>
      </c>
      <c r="O568" s="1002"/>
      <c r="P568" s="412"/>
      <c r="Q568" s="412"/>
      <c r="R568" s="412"/>
      <c r="S568" s="412"/>
      <c r="T568" s="515"/>
      <c r="U568" s="508"/>
      <c r="V568" s="694"/>
    </row>
    <row r="569" spans="1:22" ht="12.75">
      <c r="A569" s="1004"/>
      <c r="B569" s="548"/>
      <c r="C569" s="1040"/>
      <c r="D569" s="1004"/>
      <c r="E569" s="521"/>
      <c r="F569" s="520"/>
      <c r="G569" s="522"/>
      <c r="H569" s="1005">
        <f>SUM(H566:H568)</f>
        <v>313.09520000000003</v>
      </c>
      <c r="I569" s="1004"/>
      <c r="J569" s="520"/>
      <c r="K569" s="522"/>
      <c r="L569" s="520"/>
      <c r="M569" s="520"/>
      <c r="N569" s="1005">
        <f>SUM(N566:N568)</f>
        <v>8.082101612580129</v>
      </c>
      <c r="O569" s="1004"/>
      <c r="P569" s="520"/>
      <c r="Q569" s="520"/>
      <c r="R569" s="520"/>
      <c r="S569" s="520"/>
      <c r="T569" s="522">
        <f>SUM(T566:T568)</f>
        <v>1.5</v>
      </c>
      <c r="U569" s="522">
        <f>T569+N569+H569</f>
        <v>322.67730161258015</v>
      </c>
      <c r="V569" s="1005">
        <f>U569*$U$4</f>
        <v>435.0801810380286</v>
      </c>
    </row>
    <row r="570" spans="1:22" ht="12.75">
      <c r="A570" s="1002"/>
      <c r="B570" s="546"/>
      <c r="C570" s="1039"/>
      <c r="D570" s="1002"/>
      <c r="E570" s="413"/>
      <c r="F570" s="412"/>
      <c r="G570" s="414"/>
      <c r="H570" s="1057"/>
      <c r="I570" s="1002"/>
      <c r="J570" s="412"/>
      <c r="K570" s="414"/>
      <c r="L570" s="412"/>
      <c r="M570" s="412"/>
      <c r="N570" s="1090"/>
      <c r="O570" s="1002"/>
      <c r="P570" s="412"/>
      <c r="Q570" s="412"/>
      <c r="R570" s="412"/>
      <c r="S570" s="412"/>
      <c r="T570" s="514"/>
      <c r="U570" s="508"/>
      <c r="V570" s="694"/>
    </row>
    <row r="571" spans="1:22" ht="12.75">
      <c r="A571" s="1002">
        <v>11</v>
      </c>
      <c r="B571" s="546" t="s">
        <v>1356</v>
      </c>
      <c r="C571" s="1039" t="s">
        <v>1561</v>
      </c>
      <c r="D571" s="1002" t="s">
        <v>1358</v>
      </c>
      <c r="E571" s="413" t="s">
        <v>2556</v>
      </c>
      <c r="F571" s="412">
        <v>1</v>
      </c>
      <c r="G571" s="414">
        <f>'Material price'!D244</f>
        <v>330.48</v>
      </c>
      <c r="H571" s="1057">
        <f>F571*G571</f>
        <v>330.48</v>
      </c>
      <c r="I571" s="1002" t="s">
        <v>275</v>
      </c>
      <c r="J571" s="412">
        <v>1</v>
      </c>
      <c r="K571" s="414">
        <v>0.25</v>
      </c>
      <c r="L571" s="415">
        <f>L566</f>
        <v>20.81362580128205</v>
      </c>
      <c r="M571" s="414">
        <v>3</v>
      </c>
      <c r="N571" s="1090">
        <f>J571*K571*L571/M571</f>
        <v>1.7344688167735043</v>
      </c>
      <c r="O571" s="1002" t="s">
        <v>277</v>
      </c>
      <c r="P571" s="412">
        <v>2</v>
      </c>
      <c r="Q571" s="412">
        <v>1</v>
      </c>
      <c r="R571" s="414">
        <v>3</v>
      </c>
      <c r="S571" s="414">
        <v>3</v>
      </c>
      <c r="T571" s="515">
        <f>P571*Q571*R571/S571</f>
        <v>2</v>
      </c>
      <c r="U571" s="508"/>
      <c r="V571" s="694"/>
    </row>
    <row r="572" spans="1:22" ht="12.75">
      <c r="A572" s="1002"/>
      <c r="B572" s="546" t="s">
        <v>1360</v>
      </c>
      <c r="C572" s="1039"/>
      <c r="D572" s="1002" t="s">
        <v>806</v>
      </c>
      <c r="E572" s="413" t="s">
        <v>3099</v>
      </c>
      <c r="F572" s="412">
        <v>0.04</v>
      </c>
      <c r="G572" s="414">
        <v>0.03</v>
      </c>
      <c r="H572" s="1057">
        <f>F572*G572</f>
        <v>0.0012</v>
      </c>
      <c r="I572" s="1002" t="s">
        <v>808</v>
      </c>
      <c r="J572" s="412">
        <v>1</v>
      </c>
      <c r="K572" s="414">
        <v>1</v>
      </c>
      <c r="L572" s="415">
        <f>L567</f>
        <v>9.625</v>
      </c>
      <c r="M572" s="414">
        <v>3</v>
      </c>
      <c r="N572" s="1090">
        <f>J572*K572*L572/M572</f>
        <v>3.2083333333333335</v>
      </c>
      <c r="O572" s="1002"/>
      <c r="P572" s="412"/>
      <c r="Q572" s="412"/>
      <c r="R572" s="412"/>
      <c r="S572" s="412"/>
      <c r="T572" s="515"/>
      <c r="U572" s="508"/>
      <c r="V572" s="694"/>
    </row>
    <row r="573" spans="1:22" ht="12.75">
      <c r="A573" s="1002"/>
      <c r="B573" s="546"/>
      <c r="C573" s="1039"/>
      <c r="D573" s="1002" t="s">
        <v>809</v>
      </c>
      <c r="E573" s="413" t="s">
        <v>3099</v>
      </c>
      <c r="F573" s="412">
        <v>0.02</v>
      </c>
      <c r="G573" s="414">
        <v>0.2</v>
      </c>
      <c r="H573" s="1057">
        <f>F573*G573</f>
        <v>0.004</v>
      </c>
      <c r="I573" s="1002" t="s">
        <v>810</v>
      </c>
      <c r="J573" s="412">
        <v>2</v>
      </c>
      <c r="K573" s="414">
        <v>1</v>
      </c>
      <c r="L573" s="415">
        <f>L568</f>
        <v>8.75</v>
      </c>
      <c r="M573" s="414">
        <v>3</v>
      </c>
      <c r="N573" s="1090">
        <f>J573*K573*L573/M573</f>
        <v>5.833333333333333</v>
      </c>
      <c r="O573" s="1002"/>
      <c r="P573" s="412"/>
      <c r="Q573" s="412"/>
      <c r="R573" s="412"/>
      <c r="S573" s="412"/>
      <c r="T573" s="515"/>
      <c r="U573" s="508"/>
      <c r="V573" s="694"/>
    </row>
    <row r="574" spans="1:22" ht="12.75">
      <c r="A574" s="1013"/>
      <c r="B574" s="1032"/>
      <c r="C574" s="1051"/>
      <c r="D574" s="1013"/>
      <c r="E574" s="542"/>
      <c r="F574" s="522"/>
      <c r="G574" s="522"/>
      <c r="H574" s="1005">
        <f>SUM(H571:H573)</f>
        <v>330.4852</v>
      </c>
      <c r="I574" s="1013"/>
      <c r="J574" s="522"/>
      <c r="K574" s="522"/>
      <c r="L574" s="522"/>
      <c r="M574" s="522"/>
      <c r="N574" s="1005">
        <f>SUM(N571:N573)</f>
        <v>10.776135483440171</v>
      </c>
      <c r="O574" s="1013"/>
      <c r="P574" s="522"/>
      <c r="Q574" s="522"/>
      <c r="R574" s="522"/>
      <c r="S574" s="522"/>
      <c r="T574" s="522">
        <f>SUM(T571:T573)</f>
        <v>2</v>
      </c>
      <c r="U574" s="522">
        <f>T574+N574+H574</f>
        <v>343.2613354834402</v>
      </c>
      <c r="V574" s="1005">
        <f>U574*$U$4</f>
        <v>462.8345509248182</v>
      </c>
    </row>
    <row r="575" spans="1:22" ht="12.75">
      <c r="A575" s="1002"/>
      <c r="B575" s="546"/>
      <c r="C575" s="1039"/>
      <c r="D575" s="1002"/>
      <c r="E575" s="413"/>
      <c r="F575" s="412"/>
      <c r="G575" s="414"/>
      <c r="H575" s="1057"/>
      <c r="I575" s="1002"/>
      <c r="J575" s="412"/>
      <c r="K575" s="414"/>
      <c r="L575" s="412"/>
      <c r="M575" s="412"/>
      <c r="N575" s="1090"/>
      <c r="O575" s="1002"/>
      <c r="P575" s="412"/>
      <c r="Q575" s="412"/>
      <c r="R575" s="412"/>
      <c r="S575" s="412"/>
      <c r="T575" s="514"/>
      <c r="U575" s="508"/>
      <c r="V575" s="694"/>
    </row>
    <row r="576" spans="1:22" ht="12.75">
      <c r="A576" s="1002">
        <v>12</v>
      </c>
      <c r="B576" s="546" t="s">
        <v>1356</v>
      </c>
      <c r="C576" s="1039" t="s">
        <v>1561</v>
      </c>
      <c r="D576" s="1002" t="s">
        <v>1358</v>
      </c>
      <c r="E576" s="413" t="s">
        <v>2556</v>
      </c>
      <c r="F576" s="412">
        <v>1</v>
      </c>
      <c r="G576" s="414">
        <f>'Material price'!D245</f>
        <v>330.48</v>
      </c>
      <c r="H576" s="1057">
        <f>F576*G576</f>
        <v>330.48</v>
      </c>
      <c r="I576" s="1002" t="s">
        <v>275</v>
      </c>
      <c r="J576" s="412">
        <v>1</v>
      </c>
      <c r="K576" s="414">
        <v>0.25</v>
      </c>
      <c r="L576" s="415">
        <f>L566</f>
        <v>20.81362580128205</v>
      </c>
      <c r="M576" s="414">
        <v>3</v>
      </c>
      <c r="N576" s="1090">
        <f>J576*K576*L576/M576</f>
        <v>1.7344688167735043</v>
      </c>
      <c r="O576" s="1002" t="s">
        <v>277</v>
      </c>
      <c r="P576" s="412">
        <v>4</v>
      </c>
      <c r="Q576" s="412">
        <v>1</v>
      </c>
      <c r="R576" s="414">
        <v>3</v>
      </c>
      <c r="S576" s="414">
        <v>3</v>
      </c>
      <c r="T576" s="515">
        <f>P576*Q576*R576/S576</f>
        <v>4</v>
      </c>
      <c r="U576" s="508"/>
      <c r="V576" s="694"/>
    </row>
    <row r="577" spans="1:22" ht="12.75">
      <c r="A577" s="1002"/>
      <c r="B577" s="546" t="s">
        <v>1335</v>
      </c>
      <c r="C577" s="1039"/>
      <c r="D577" s="1002" t="s">
        <v>806</v>
      </c>
      <c r="E577" s="413" t="s">
        <v>3099</v>
      </c>
      <c r="F577" s="412">
        <v>0.04</v>
      </c>
      <c r="G577" s="414">
        <v>0.03</v>
      </c>
      <c r="H577" s="1057">
        <f>F577*G577</f>
        <v>0.0012</v>
      </c>
      <c r="I577" s="1002" t="s">
        <v>808</v>
      </c>
      <c r="J577" s="412">
        <v>1</v>
      </c>
      <c r="K577" s="414">
        <v>1</v>
      </c>
      <c r="L577" s="415">
        <f>L567</f>
        <v>9.625</v>
      </c>
      <c r="M577" s="414">
        <v>3</v>
      </c>
      <c r="N577" s="1090">
        <f>J577*K577*L577/M577</f>
        <v>3.2083333333333335</v>
      </c>
      <c r="O577" s="1002"/>
      <c r="P577" s="412"/>
      <c r="Q577" s="412"/>
      <c r="R577" s="412"/>
      <c r="S577" s="412"/>
      <c r="T577" s="515"/>
      <c r="U577" s="508"/>
      <c r="V577" s="694"/>
    </row>
    <row r="578" spans="1:22" ht="12.75">
      <c r="A578" s="1002"/>
      <c r="B578" s="546"/>
      <c r="C578" s="1039"/>
      <c r="D578" s="1002" t="s">
        <v>809</v>
      </c>
      <c r="E578" s="413" t="s">
        <v>3099</v>
      </c>
      <c r="F578" s="412">
        <v>0.02</v>
      </c>
      <c r="G578" s="414">
        <v>0.2</v>
      </c>
      <c r="H578" s="1057">
        <f>F578*G578</f>
        <v>0.004</v>
      </c>
      <c r="I578" s="1002" t="s">
        <v>810</v>
      </c>
      <c r="J578" s="412">
        <v>2</v>
      </c>
      <c r="K578" s="414">
        <v>1</v>
      </c>
      <c r="L578" s="415">
        <f>L568</f>
        <v>8.75</v>
      </c>
      <c r="M578" s="414">
        <v>3</v>
      </c>
      <c r="N578" s="1090">
        <f>J578*K578*L578/M578</f>
        <v>5.833333333333333</v>
      </c>
      <c r="O578" s="1002"/>
      <c r="P578" s="412"/>
      <c r="Q578" s="412"/>
      <c r="R578" s="412"/>
      <c r="S578" s="412"/>
      <c r="T578" s="515"/>
      <c r="U578" s="508"/>
      <c r="V578" s="694"/>
    </row>
    <row r="579" spans="1:22" ht="12.75">
      <c r="A579" s="1013"/>
      <c r="B579" s="1032"/>
      <c r="C579" s="1051"/>
      <c r="D579" s="1013"/>
      <c r="E579" s="542"/>
      <c r="F579" s="522"/>
      <c r="G579" s="522"/>
      <c r="H579" s="1005">
        <f>SUM(H576:H578)</f>
        <v>330.4852</v>
      </c>
      <c r="I579" s="1013"/>
      <c r="J579" s="522"/>
      <c r="K579" s="522"/>
      <c r="L579" s="522"/>
      <c r="M579" s="522"/>
      <c r="N579" s="1005">
        <f>SUM(N576:N578)</f>
        <v>10.776135483440171</v>
      </c>
      <c r="O579" s="1013"/>
      <c r="P579" s="522"/>
      <c r="Q579" s="522"/>
      <c r="R579" s="522"/>
      <c r="S579" s="522"/>
      <c r="T579" s="522">
        <f>SUM(T576:T578)</f>
        <v>4</v>
      </c>
      <c r="U579" s="522">
        <f>T579+N579+H579</f>
        <v>345.2613354834402</v>
      </c>
      <c r="V579" s="1005">
        <f>U579*$U$4</f>
        <v>465.53124002481815</v>
      </c>
    </row>
    <row r="580" spans="1:22" ht="12.75">
      <c r="A580" s="1002"/>
      <c r="B580" s="546"/>
      <c r="C580" s="1039"/>
      <c r="D580" s="1002"/>
      <c r="E580" s="413"/>
      <c r="F580" s="412"/>
      <c r="G580" s="414"/>
      <c r="H580" s="1057"/>
      <c r="I580" s="1002"/>
      <c r="J580" s="412"/>
      <c r="K580" s="414"/>
      <c r="L580" s="412"/>
      <c r="M580" s="412"/>
      <c r="N580" s="1090"/>
      <c r="O580" s="1002"/>
      <c r="P580" s="412"/>
      <c r="Q580" s="412"/>
      <c r="R580" s="412"/>
      <c r="S580" s="412"/>
      <c r="T580" s="514"/>
      <c r="U580" s="508"/>
      <c r="V580" s="694"/>
    </row>
    <row r="581" spans="1:22" ht="12.75">
      <c r="A581" s="1002">
        <v>13</v>
      </c>
      <c r="B581" s="546" t="s">
        <v>1356</v>
      </c>
      <c r="C581" s="1039" t="s">
        <v>1561</v>
      </c>
      <c r="D581" s="1002" t="s">
        <v>1358</v>
      </c>
      <c r="E581" s="413" t="s">
        <v>2556</v>
      </c>
      <c r="F581" s="414">
        <v>1</v>
      </c>
      <c r="G581" s="414">
        <f>'Material price'!D246</f>
        <v>52.17</v>
      </c>
      <c r="H581" s="1057">
        <f>F581*G581</f>
        <v>52.17</v>
      </c>
      <c r="I581" s="1002" t="s">
        <v>275</v>
      </c>
      <c r="J581" s="412">
        <v>1</v>
      </c>
      <c r="K581" s="414">
        <v>0.25</v>
      </c>
      <c r="L581" s="415">
        <f>L576</f>
        <v>20.81362580128205</v>
      </c>
      <c r="M581" s="414">
        <v>3</v>
      </c>
      <c r="N581" s="1090">
        <f>J581*K581*L581/M581</f>
        <v>1.7344688167735043</v>
      </c>
      <c r="O581" s="1002" t="s">
        <v>277</v>
      </c>
      <c r="P581" s="412">
        <v>2</v>
      </c>
      <c r="Q581" s="412">
        <v>1</v>
      </c>
      <c r="R581" s="414">
        <v>3</v>
      </c>
      <c r="S581" s="414">
        <v>3</v>
      </c>
      <c r="T581" s="515">
        <f>P581*Q581*R581/S581</f>
        <v>2</v>
      </c>
      <c r="U581" s="508"/>
      <c r="V581" s="694"/>
    </row>
    <row r="582" spans="1:22" ht="12.75">
      <c r="A582" s="1002"/>
      <c r="B582" s="546" t="s">
        <v>813</v>
      </c>
      <c r="C582" s="1039"/>
      <c r="D582" s="1002" t="s">
        <v>806</v>
      </c>
      <c r="E582" s="413" t="s">
        <v>3099</v>
      </c>
      <c r="F582" s="412">
        <v>0.04</v>
      </c>
      <c r="G582" s="414">
        <v>0.05</v>
      </c>
      <c r="H582" s="1057">
        <f>F582*G582</f>
        <v>0.002</v>
      </c>
      <c r="I582" s="1002" t="s">
        <v>808</v>
      </c>
      <c r="J582" s="412">
        <v>1</v>
      </c>
      <c r="K582" s="414">
        <v>1</v>
      </c>
      <c r="L582" s="415">
        <f>L577</f>
        <v>9.625</v>
      </c>
      <c r="M582" s="414">
        <v>3</v>
      </c>
      <c r="N582" s="1090">
        <f>J582*K582*L582/M582</f>
        <v>3.2083333333333335</v>
      </c>
      <c r="O582" s="1002"/>
      <c r="P582" s="412"/>
      <c r="Q582" s="412"/>
      <c r="R582" s="412"/>
      <c r="S582" s="412"/>
      <c r="T582" s="514"/>
      <c r="U582" s="508"/>
      <c r="V582" s="694"/>
    </row>
    <row r="583" spans="1:22" ht="12.75">
      <c r="A583" s="1002"/>
      <c r="B583" s="546"/>
      <c r="C583" s="1039"/>
      <c r="D583" s="1002" t="s">
        <v>809</v>
      </c>
      <c r="E583" s="413" t="s">
        <v>3099</v>
      </c>
      <c r="F583" s="412">
        <v>0.02</v>
      </c>
      <c r="G583" s="414">
        <v>0.3</v>
      </c>
      <c r="H583" s="1057">
        <f>F583*G583</f>
        <v>0.006</v>
      </c>
      <c r="I583" s="1002" t="s">
        <v>810</v>
      </c>
      <c r="J583" s="412">
        <v>2</v>
      </c>
      <c r="K583" s="414">
        <v>1</v>
      </c>
      <c r="L583" s="415">
        <f>L578</f>
        <v>8.75</v>
      </c>
      <c r="M583" s="414">
        <v>3</v>
      </c>
      <c r="N583" s="1090">
        <f>J583*K583*L583/M583</f>
        <v>5.833333333333333</v>
      </c>
      <c r="O583" s="1002"/>
      <c r="P583" s="412"/>
      <c r="Q583" s="412"/>
      <c r="R583" s="412"/>
      <c r="S583" s="412"/>
      <c r="T583" s="514"/>
      <c r="U583" s="508"/>
      <c r="V583" s="694"/>
    </row>
    <row r="584" spans="1:22" ht="12.75">
      <c r="A584" s="1004"/>
      <c r="B584" s="548"/>
      <c r="C584" s="1040"/>
      <c r="D584" s="1004"/>
      <c r="E584" s="521"/>
      <c r="F584" s="520"/>
      <c r="G584" s="522"/>
      <c r="H584" s="1005">
        <f>SUM(H581:H583)</f>
        <v>52.178000000000004</v>
      </c>
      <c r="I584" s="1004"/>
      <c r="J584" s="520"/>
      <c r="K584" s="522"/>
      <c r="L584" s="520"/>
      <c r="M584" s="520"/>
      <c r="N584" s="1005">
        <f>SUM(N581:N583)</f>
        <v>10.776135483440171</v>
      </c>
      <c r="O584" s="1004"/>
      <c r="P584" s="520"/>
      <c r="Q584" s="520"/>
      <c r="R584" s="520"/>
      <c r="S584" s="520"/>
      <c r="T584" s="522">
        <f>SUM(T581:T583)</f>
        <v>2</v>
      </c>
      <c r="U584" s="522">
        <f>T584+N584+H584</f>
        <v>64.95413548344018</v>
      </c>
      <c r="V584" s="1005">
        <f>U584*$U$4</f>
        <v>87.58055457905819</v>
      </c>
    </row>
    <row r="585" spans="1:22" ht="12.75">
      <c r="A585" s="1002"/>
      <c r="B585" s="546"/>
      <c r="C585" s="1039"/>
      <c r="D585" s="1002"/>
      <c r="E585" s="413"/>
      <c r="F585" s="412"/>
      <c r="G585" s="414"/>
      <c r="H585" s="1057"/>
      <c r="I585" s="1002"/>
      <c r="J585" s="412"/>
      <c r="K585" s="414"/>
      <c r="L585" s="412"/>
      <c r="M585" s="412"/>
      <c r="N585" s="1090"/>
      <c r="O585" s="1002"/>
      <c r="P585" s="412"/>
      <c r="Q585" s="412"/>
      <c r="R585" s="412"/>
      <c r="S585" s="412"/>
      <c r="T585" s="514"/>
      <c r="U585" s="508"/>
      <c r="V585" s="694"/>
    </row>
    <row r="586" spans="1:22" ht="12.75">
      <c r="A586" s="1008">
        <v>14</v>
      </c>
      <c r="B586" s="549" t="s">
        <v>1356</v>
      </c>
      <c r="C586" s="1047" t="s">
        <v>1561</v>
      </c>
      <c r="D586" s="1008" t="s">
        <v>1358</v>
      </c>
      <c r="E586" s="453" t="s">
        <v>2556</v>
      </c>
      <c r="F586" s="420">
        <v>1.05</v>
      </c>
      <c r="G586" s="416">
        <f>'Material price'!D247</f>
        <v>165.22</v>
      </c>
      <c r="H586" s="1057">
        <f>F586*G586</f>
        <v>173.481</v>
      </c>
      <c r="I586" s="1008" t="s">
        <v>275</v>
      </c>
      <c r="J586" s="420">
        <v>1</v>
      </c>
      <c r="K586" s="416">
        <v>0.25</v>
      </c>
      <c r="L586" s="497">
        <f>L576</f>
        <v>20.81362580128205</v>
      </c>
      <c r="M586" s="416">
        <v>2.5</v>
      </c>
      <c r="N586" s="1090">
        <f>J586*K586*L586/M586</f>
        <v>2.081362580128205</v>
      </c>
      <c r="O586" s="1008" t="s">
        <v>277</v>
      </c>
      <c r="P586" s="420">
        <v>2</v>
      </c>
      <c r="Q586" s="420">
        <v>1</v>
      </c>
      <c r="R586" s="416">
        <v>3</v>
      </c>
      <c r="S586" s="416">
        <v>2.5</v>
      </c>
      <c r="T586" s="515">
        <f>P586*Q586*R586/S586</f>
        <v>2.4</v>
      </c>
      <c r="U586" s="508"/>
      <c r="V586" s="694"/>
    </row>
    <row r="587" spans="1:22" ht="12.75">
      <c r="A587" s="1008"/>
      <c r="B587" s="549" t="s">
        <v>1353</v>
      </c>
      <c r="C587" s="1047"/>
      <c r="D587" s="1008" t="s">
        <v>806</v>
      </c>
      <c r="E587" s="453" t="s">
        <v>3099</v>
      </c>
      <c r="F587" s="420">
        <v>0.04</v>
      </c>
      <c r="G587" s="416">
        <v>0.07</v>
      </c>
      <c r="H587" s="1057">
        <f>F587*G587</f>
        <v>0.0028000000000000004</v>
      </c>
      <c r="I587" s="1008" t="s">
        <v>808</v>
      </c>
      <c r="J587" s="420">
        <v>1</v>
      </c>
      <c r="K587" s="416">
        <v>1</v>
      </c>
      <c r="L587" s="497">
        <f>L577</f>
        <v>9.625</v>
      </c>
      <c r="M587" s="416">
        <v>2.5</v>
      </c>
      <c r="N587" s="1090">
        <f>J587*K587*L587/M587</f>
        <v>3.85</v>
      </c>
      <c r="O587" s="1008"/>
      <c r="P587" s="420"/>
      <c r="Q587" s="420"/>
      <c r="R587" s="420"/>
      <c r="S587" s="420"/>
      <c r="T587" s="515"/>
      <c r="U587" s="508"/>
      <c r="V587" s="694"/>
    </row>
    <row r="588" spans="1:22" ht="12.75">
      <c r="A588" s="1008"/>
      <c r="B588" s="549"/>
      <c r="C588" s="1047"/>
      <c r="D588" s="1008" t="s">
        <v>809</v>
      </c>
      <c r="E588" s="453" t="s">
        <v>3099</v>
      </c>
      <c r="F588" s="420">
        <v>0.02</v>
      </c>
      <c r="G588" s="416">
        <v>0.5</v>
      </c>
      <c r="H588" s="1057">
        <f>F588*G588</f>
        <v>0.01</v>
      </c>
      <c r="I588" s="1008" t="s">
        <v>810</v>
      </c>
      <c r="J588" s="420">
        <v>2</v>
      </c>
      <c r="K588" s="416">
        <v>1</v>
      </c>
      <c r="L588" s="497">
        <f>L578</f>
        <v>8.75</v>
      </c>
      <c r="M588" s="416">
        <v>2.5</v>
      </c>
      <c r="N588" s="1090">
        <f>J588*K588*L588/M588</f>
        <v>7</v>
      </c>
      <c r="O588" s="1008"/>
      <c r="P588" s="420"/>
      <c r="Q588" s="420"/>
      <c r="R588" s="420"/>
      <c r="S588" s="420"/>
      <c r="T588" s="515"/>
      <c r="U588" s="508"/>
      <c r="V588" s="694"/>
    </row>
    <row r="589" spans="1:22" ht="12.75">
      <c r="A589" s="1004"/>
      <c r="B589" s="548"/>
      <c r="C589" s="1040"/>
      <c r="D589" s="1004"/>
      <c r="E589" s="521"/>
      <c r="F589" s="520"/>
      <c r="G589" s="522"/>
      <c r="H589" s="1005">
        <f>SUM(H586:H588)</f>
        <v>173.4938</v>
      </c>
      <c r="I589" s="1004"/>
      <c r="J589" s="520"/>
      <c r="K589" s="522"/>
      <c r="L589" s="520"/>
      <c r="M589" s="520"/>
      <c r="N589" s="1005">
        <f>SUM(N586:N588)</f>
        <v>12.931362580128205</v>
      </c>
      <c r="O589" s="1004"/>
      <c r="P589" s="520"/>
      <c r="Q589" s="520"/>
      <c r="R589" s="520"/>
      <c r="S589" s="520"/>
      <c r="T589" s="522">
        <f>SUM(T586:T588)</f>
        <v>2.4</v>
      </c>
      <c r="U589" s="522">
        <f>T589+N589+H589</f>
        <v>188.8251625801282</v>
      </c>
      <c r="V589" s="1005">
        <f>U589*$U$4</f>
        <v>254.60137886777977</v>
      </c>
    </row>
    <row r="590" spans="1:22" ht="12.75">
      <c r="A590" s="1008"/>
      <c r="B590" s="549"/>
      <c r="C590" s="1047"/>
      <c r="D590" s="1008"/>
      <c r="E590" s="453"/>
      <c r="F590" s="420"/>
      <c r="G590" s="416"/>
      <c r="H590" s="1059"/>
      <c r="I590" s="1008"/>
      <c r="J590" s="420"/>
      <c r="K590" s="416"/>
      <c r="L590" s="420"/>
      <c r="M590" s="420"/>
      <c r="N590" s="1090"/>
      <c r="O590" s="1008"/>
      <c r="P590" s="420"/>
      <c r="Q590" s="420"/>
      <c r="R590" s="420"/>
      <c r="S590" s="420"/>
      <c r="T590" s="514"/>
      <c r="U590" s="508"/>
      <c r="V590" s="694"/>
    </row>
    <row r="591" spans="1:22" ht="12.75">
      <c r="A591" s="1008">
        <v>15</v>
      </c>
      <c r="B591" s="549" t="s">
        <v>1356</v>
      </c>
      <c r="C591" s="1047" t="s">
        <v>1561</v>
      </c>
      <c r="D591" s="1008" t="s">
        <v>1358</v>
      </c>
      <c r="E591" s="453" t="s">
        <v>2556</v>
      </c>
      <c r="F591" s="420">
        <v>1.05</v>
      </c>
      <c r="G591" s="416">
        <v>200</v>
      </c>
      <c r="H591" s="1059">
        <f>G591*F591</f>
        <v>210</v>
      </c>
      <c r="I591" s="1008" t="s">
        <v>275</v>
      </c>
      <c r="J591" s="420">
        <v>1</v>
      </c>
      <c r="K591" s="416">
        <v>0.25</v>
      </c>
      <c r="L591" s="497">
        <f>L586</f>
        <v>20.81362580128205</v>
      </c>
      <c r="M591" s="416">
        <v>2.5</v>
      </c>
      <c r="N591" s="1090">
        <f>J591*K591*L591/M591</f>
        <v>2.081362580128205</v>
      </c>
      <c r="O591" s="1008" t="s">
        <v>277</v>
      </c>
      <c r="P591" s="420">
        <v>2</v>
      </c>
      <c r="Q591" s="420">
        <v>1</v>
      </c>
      <c r="R591" s="416">
        <v>3</v>
      </c>
      <c r="S591" s="416">
        <v>2.5</v>
      </c>
      <c r="T591" s="515">
        <f>P591*Q591*R591/S591</f>
        <v>2.4</v>
      </c>
      <c r="U591" s="508"/>
      <c r="V591" s="694"/>
    </row>
    <row r="592" spans="1:22" ht="12.75">
      <c r="A592" s="1008"/>
      <c r="B592" s="549" t="s">
        <v>1138</v>
      </c>
      <c r="C592" s="1047"/>
      <c r="D592" s="1008" t="s">
        <v>806</v>
      </c>
      <c r="E592" s="453" t="s">
        <v>3099</v>
      </c>
      <c r="F592" s="420">
        <v>0.04</v>
      </c>
      <c r="G592" s="416">
        <v>0.03</v>
      </c>
      <c r="H592" s="1059">
        <f>G592*F592</f>
        <v>0.0012</v>
      </c>
      <c r="I592" s="1008" t="s">
        <v>808</v>
      </c>
      <c r="J592" s="420">
        <v>1</v>
      </c>
      <c r="K592" s="416">
        <v>1</v>
      </c>
      <c r="L592" s="497">
        <f>L587</f>
        <v>9.625</v>
      </c>
      <c r="M592" s="416">
        <v>2.5</v>
      </c>
      <c r="N592" s="1090">
        <f>J592*K592*L592/M592</f>
        <v>3.85</v>
      </c>
      <c r="O592" s="1008"/>
      <c r="P592" s="420"/>
      <c r="Q592" s="420"/>
      <c r="R592" s="420"/>
      <c r="S592" s="420"/>
      <c r="T592" s="515"/>
      <c r="U592" s="508"/>
      <c r="V592" s="694"/>
    </row>
    <row r="593" spans="1:22" ht="12.75">
      <c r="A593" s="1008"/>
      <c r="B593" s="549"/>
      <c r="C593" s="1047"/>
      <c r="D593" s="1008" t="s">
        <v>809</v>
      </c>
      <c r="E593" s="453" t="s">
        <v>3099</v>
      </c>
      <c r="F593" s="420">
        <v>0.02</v>
      </c>
      <c r="G593" s="416">
        <v>0.2</v>
      </c>
      <c r="H593" s="1059">
        <f>G593*F593</f>
        <v>0.004</v>
      </c>
      <c r="I593" s="1008" t="s">
        <v>810</v>
      </c>
      <c r="J593" s="420">
        <v>2</v>
      </c>
      <c r="K593" s="416">
        <v>1</v>
      </c>
      <c r="L593" s="497">
        <f>L588</f>
        <v>8.75</v>
      </c>
      <c r="M593" s="416">
        <v>2.5</v>
      </c>
      <c r="N593" s="1090">
        <f>J593*K593*L593/M593</f>
        <v>7</v>
      </c>
      <c r="O593" s="1008"/>
      <c r="P593" s="420"/>
      <c r="Q593" s="420"/>
      <c r="R593" s="420"/>
      <c r="S593" s="420"/>
      <c r="T593" s="515"/>
      <c r="U593" s="508"/>
      <c r="V593" s="694"/>
    </row>
    <row r="594" spans="1:22" ht="12.75">
      <c r="A594" s="1008"/>
      <c r="B594" s="549"/>
      <c r="C594" s="1047"/>
      <c r="D594" s="1008"/>
      <c r="E594" s="453"/>
      <c r="F594" s="420"/>
      <c r="G594" s="416"/>
      <c r="H594" s="1063"/>
      <c r="I594" s="1008"/>
      <c r="J594" s="420"/>
      <c r="K594" s="416"/>
      <c r="L594" s="497"/>
      <c r="M594" s="416"/>
      <c r="N594" s="1090"/>
      <c r="O594" s="1008"/>
      <c r="P594" s="420"/>
      <c r="Q594" s="420"/>
      <c r="R594" s="420"/>
      <c r="S594" s="420"/>
      <c r="T594" s="515"/>
      <c r="U594" s="508"/>
      <c r="V594" s="694"/>
    </row>
    <row r="595" spans="1:22" ht="12.75">
      <c r="A595" s="1004"/>
      <c r="B595" s="548"/>
      <c r="C595" s="1040"/>
      <c r="D595" s="1004"/>
      <c r="E595" s="521"/>
      <c r="F595" s="520"/>
      <c r="G595" s="522"/>
      <c r="H595" s="1005">
        <f>SUM(H591:H594)</f>
        <v>210.0052</v>
      </c>
      <c r="I595" s="1004"/>
      <c r="J595" s="520"/>
      <c r="K595" s="522"/>
      <c r="L595" s="520"/>
      <c r="M595" s="520"/>
      <c r="N595" s="1005">
        <f>SUM(N591:N594)</f>
        <v>12.931362580128205</v>
      </c>
      <c r="O595" s="1004"/>
      <c r="P595" s="520"/>
      <c r="Q595" s="520"/>
      <c r="R595" s="520"/>
      <c r="S595" s="520"/>
      <c r="T595" s="522">
        <f>SUM(T591:T594)</f>
        <v>2.4</v>
      </c>
      <c r="U595" s="522">
        <f>T595+N595+H595</f>
        <v>225.3365625801282</v>
      </c>
      <c r="V595" s="1005">
        <f>U595*$U$4</f>
        <v>303.83132607064977</v>
      </c>
    </row>
    <row r="596" spans="1:22" s="438" customFormat="1" ht="12.75">
      <c r="A596" s="1008"/>
      <c r="B596" s="549"/>
      <c r="C596" s="1047"/>
      <c r="D596" s="1008"/>
      <c r="E596" s="453"/>
      <c r="F596" s="420"/>
      <c r="G596" s="416"/>
      <c r="H596" s="1059"/>
      <c r="I596" s="1008"/>
      <c r="J596" s="420"/>
      <c r="K596" s="416"/>
      <c r="L596" s="420"/>
      <c r="M596" s="420"/>
      <c r="N596" s="1090"/>
      <c r="O596" s="1008"/>
      <c r="P596" s="420"/>
      <c r="Q596" s="420"/>
      <c r="R596" s="420"/>
      <c r="S596" s="420"/>
      <c r="T596" s="514"/>
      <c r="U596" s="508"/>
      <c r="V596" s="694"/>
    </row>
    <row r="597" spans="1:22" ht="12.75">
      <c r="A597" s="1002">
        <v>16</v>
      </c>
      <c r="B597" s="546" t="s">
        <v>1356</v>
      </c>
      <c r="C597" s="1039" t="s">
        <v>1561</v>
      </c>
      <c r="D597" s="1002" t="s">
        <v>1358</v>
      </c>
      <c r="E597" s="413" t="s">
        <v>2556</v>
      </c>
      <c r="F597" s="412">
        <v>1.05</v>
      </c>
      <c r="G597" s="414">
        <f>'Material price'!D248</f>
        <v>252.17</v>
      </c>
      <c r="H597" s="1063">
        <f>F597*G597</f>
        <v>264.7785</v>
      </c>
      <c r="I597" s="1002" t="s">
        <v>275</v>
      </c>
      <c r="J597" s="412">
        <v>1</v>
      </c>
      <c r="K597" s="414">
        <v>0.25</v>
      </c>
      <c r="L597" s="415">
        <f>L591</f>
        <v>20.81362580128205</v>
      </c>
      <c r="M597" s="412">
        <v>2</v>
      </c>
      <c r="N597" s="1090">
        <f>J597*K597*L597/M597</f>
        <v>2.6017032251602563</v>
      </c>
      <c r="O597" s="1002" t="s">
        <v>277</v>
      </c>
      <c r="P597" s="412">
        <v>2</v>
      </c>
      <c r="Q597" s="412">
        <v>1</v>
      </c>
      <c r="R597" s="414">
        <v>3</v>
      </c>
      <c r="S597" s="414">
        <v>2</v>
      </c>
      <c r="T597" s="515">
        <f>P597*Q597*R597/S597</f>
        <v>3</v>
      </c>
      <c r="U597" s="508"/>
      <c r="V597" s="694"/>
    </row>
    <row r="598" spans="1:22" ht="12.75">
      <c r="A598" s="1002"/>
      <c r="B598" s="546" t="s">
        <v>1139</v>
      </c>
      <c r="C598" s="1039"/>
      <c r="D598" s="1002" t="s">
        <v>806</v>
      </c>
      <c r="E598" s="413" t="s">
        <v>3099</v>
      </c>
      <c r="F598" s="412">
        <v>0.04</v>
      </c>
      <c r="G598" s="414">
        <v>0.03</v>
      </c>
      <c r="H598" s="1063">
        <f>F598*G598</f>
        <v>0.0012</v>
      </c>
      <c r="I598" s="1002" t="s">
        <v>808</v>
      </c>
      <c r="J598" s="412">
        <v>1</v>
      </c>
      <c r="K598" s="414">
        <v>1</v>
      </c>
      <c r="L598" s="415">
        <f>L592</f>
        <v>9.625</v>
      </c>
      <c r="M598" s="412">
        <v>2</v>
      </c>
      <c r="N598" s="1090">
        <f>J598*K598*L598/M598</f>
        <v>4.8125</v>
      </c>
      <c r="O598" s="1002"/>
      <c r="P598" s="412"/>
      <c r="Q598" s="412"/>
      <c r="R598" s="412"/>
      <c r="S598" s="412"/>
      <c r="T598" s="514"/>
      <c r="U598" s="508"/>
      <c r="V598" s="694"/>
    </row>
    <row r="599" spans="1:22" ht="12.75">
      <c r="A599" s="1002"/>
      <c r="B599" s="546"/>
      <c r="C599" s="1039"/>
      <c r="D599" s="1002" t="s">
        <v>809</v>
      </c>
      <c r="E599" s="413" t="s">
        <v>3099</v>
      </c>
      <c r="F599" s="412">
        <v>0.02</v>
      </c>
      <c r="G599" s="414">
        <v>0.2</v>
      </c>
      <c r="H599" s="1063">
        <f>F599*G599</f>
        <v>0.004</v>
      </c>
      <c r="I599" s="1002" t="s">
        <v>810</v>
      </c>
      <c r="J599" s="412">
        <v>2</v>
      </c>
      <c r="K599" s="414">
        <v>1</v>
      </c>
      <c r="L599" s="415">
        <f>L593</f>
        <v>8.75</v>
      </c>
      <c r="M599" s="412">
        <v>2</v>
      </c>
      <c r="N599" s="1090">
        <f>J599*K599*L599/M599</f>
        <v>8.75</v>
      </c>
      <c r="O599" s="1002"/>
      <c r="P599" s="412"/>
      <c r="Q599" s="412"/>
      <c r="R599" s="412"/>
      <c r="S599" s="412"/>
      <c r="T599" s="514"/>
      <c r="U599" s="508"/>
      <c r="V599" s="694"/>
    </row>
    <row r="600" spans="1:22" ht="12.75">
      <c r="A600" s="1004"/>
      <c r="B600" s="548"/>
      <c r="C600" s="1040"/>
      <c r="D600" s="1004"/>
      <c r="E600" s="521"/>
      <c r="F600" s="520"/>
      <c r="G600" s="522"/>
      <c r="H600" s="1005">
        <f>SUM(H597:H599)</f>
        <v>264.7837</v>
      </c>
      <c r="I600" s="1004"/>
      <c r="J600" s="520"/>
      <c r="K600" s="522"/>
      <c r="L600" s="520"/>
      <c r="M600" s="520"/>
      <c r="N600" s="1005">
        <f>SUM(N597:N599)</f>
        <v>16.164203225160257</v>
      </c>
      <c r="O600" s="1004"/>
      <c r="P600" s="520"/>
      <c r="Q600" s="520"/>
      <c r="R600" s="520"/>
      <c r="S600" s="520"/>
      <c r="T600" s="522">
        <f>SUM(T597:T599)</f>
        <v>3</v>
      </c>
      <c r="U600" s="522">
        <f>T600+N600+H600</f>
        <v>283.94790322516025</v>
      </c>
      <c r="V600" s="1005">
        <f>U600*$U$4</f>
        <v>382.8596077975722</v>
      </c>
    </row>
    <row r="601" spans="1:22" ht="12.75">
      <c r="A601" s="1002"/>
      <c r="B601" s="546"/>
      <c r="C601" s="1039"/>
      <c r="D601" s="1002"/>
      <c r="E601" s="413"/>
      <c r="F601" s="412"/>
      <c r="G601" s="414"/>
      <c r="H601" s="1057"/>
      <c r="I601" s="1002"/>
      <c r="J601" s="412"/>
      <c r="K601" s="414"/>
      <c r="L601" s="412"/>
      <c r="M601" s="412"/>
      <c r="N601" s="1091"/>
      <c r="O601" s="1002"/>
      <c r="P601" s="412"/>
      <c r="Q601" s="412"/>
      <c r="R601" s="412"/>
      <c r="S601" s="412"/>
      <c r="T601" s="514"/>
      <c r="U601" s="507"/>
      <c r="V601" s="694"/>
    </row>
    <row r="602" spans="1:22" ht="12.75">
      <c r="A602" s="1002">
        <v>17</v>
      </c>
      <c r="B602" s="546" t="s">
        <v>1361</v>
      </c>
      <c r="C602" s="1039" t="s">
        <v>1561</v>
      </c>
      <c r="D602" s="1002" t="s">
        <v>1363</v>
      </c>
      <c r="E602" s="413" t="s">
        <v>2850</v>
      </c>
      <c r="F602" s="412">
        <v>1.05</v>
      </c>
      <c r="G602" s="414">
        <f>'Material price'!D223</f>
        <v>1367.82</v>
      </c>
      <c r="H602" s="1059">
        <f>F602*G602</f>
        <v>1436.211</v>
      </c>
      <c r="I602" s="1002" t="s">
        <v>275</v>
      </c>
      <c r="J602" s="412">
        <v>1</v>
      </c>
      <c r="K602" s="414">
        <v>0.25</v>
      </c>
      <c r="L602" s="415">
        <f>L597</f>
        <v>20.81362580128205</v>
      </c>
      <c r="M602" s="412">
        <v>0.25</v>
      </c>
      <c r="N602" s="1090">
        <f>J602*K602*L602/M602</f>
        <v>20.81362580128205</v>
      </c>
      <c r="O602" s="1002" t="s">
        <v>277</v>
      </c>
      <c r="P602" s="412">
        <v>2</v>
      </c>
      <c r="Q602" s="412">
        <v>1</v>
      </c>
      <c r="R602" s="414">
        <v>3</v>
      </c>
      <c r="S602" s="414">
        <v>0.25</v>
      </c>
      <c r="T602" s="515">
        <f>P602*Q602*R602/S602</f>
        <v>24</v>
      </c>
      <c r="U602" s="507"/>
      <c r="V602" s="694"/>
    </row>
    <row r="603" spans="1:22" ht="12.75">
      <c r="A603" s="1002"/>
      <c r="B603" s="546" t="s">
        <v>1362</v>
      </c>
      <c r="C603" s="1039"/>
      <c r="D603" s="1002" t="s">
        <v>1365</v>
      </c>
      <c r="E603" s="413"/>
      <c r="F603" s="412"/>
      <c r="G603" s="414"/>
      <c r="H603" s="1059"/>
      <c r="I603" s="1002" t="s">
        <v>808</v>
      </c>
      <c r="J603" s="412">
        <v>1</v>
      </c>
      <c r="K603" s="414">
        <v>1</v>
      </c>
      <c r="L603" s="415">
        <f>L598</f>
        <v>9.625</v>
      </c>
      <c r="M603" s="412">
        <v>0.25</v>
      </c>
      <c r="N603" s="1090">
        <f>J603*K603*L603/M603</f>
        <v>38.5</v>
      </c>
      <c r="O603" s="1002"/>
      <c r="P603" s="412"/>
      <c r="Q603" s="412"/>
      <c r="R603" s="412"/>
      <c r="S603" s="412"/>
      <c r="T603" s="515"/>
      <c r="U603" s="507"/>
      <c r="V603" s="694"/>
    </row>
    <row r="604" spans="1:22" ht="12.75">
      <c r="A604" s="1002"/>
      <c r="B604" s="546" t="s">
        <v>1364</v>
      </c>
      <c r="C604" s="1039"/>
      <c r="D604" s="1002"/>
      <c r="E604" s="413"/>
      <c r="F604" s="412"/>
      <c r="G604" s="414"/>
      <c r="H604" s="1059"/>
      <c r="I604" s="1002" t="s">
        <v>810</v>
      </c>
      <c r="J604" s="412">
        <v>2</v>
      </c>
      <c r="K604" s="414">
        <v>1</v>
      </c>
      <c r="L604" s="415">
        <f>L599</f>
        <v>8.75</v>
      </c>
      <c r="M604" s="412">
        <v>0.25</v>
      </c>
      <c r="N604" s="1090">
        <f>J604*K604*L604/M604</f>
        <v>70</v>
      </c>
      <c r="O604" s="1002"/>
      <c r="P604" s="412"/>
      <c r="Q604" s="412"/>
      <c r="R604" s="412"/>
      <c r="S604" s="412"/>
      <c r="T604" s="515"/>
      <c r="U604" s="507"/>
      <c r="V604" s="694"/>
    </row>
    <row r="605" spans="1:22" ht="12.75">
      <c r="A605" s="1002"/>
      <c r="B605" s="546"/>
      <c r="C605" s="1039"/>
      <c r="D605" s="1002"/>
      <c r="E605" s="413"/>
      <c r="F605" s="412"/>
      <c r="G605" s="414"/>
      <c r="H605" s="1059"/>
      <c r="I605" s="1002" t="s">
        <v>1857</v>
      </c>
      <c r="J605" s="412">
        <v>1</v>
      </c>
      <c r="K605" s="414">
        <v>0.25</v>
      </c>
      <c r="L605" s="415">
        <f>'Labour Cost'!F12</f>
        <v>35</v>
      </c>
      <c r="M605" s="412">
        <v>0.25</v>
      </c>
      <c r="N605" s="1090">
        <f>J605*K605*L605/M605</f>
        <v>35</v>
      </c>
      <c r="O605" s="1002"/>
      <c r="P605" s="412"/>
      <c r="Q605" s="412"/>
      <c r="R605" s="412"/>
      <c r="S605" s="412"/>
      <c r="T605" s="515"/>
      <c r="U605" s="507"/>
      <c r="V605" s="694"/>
    </row>
    <row r="606" spans="1:22" ht="12.75">
      <c r="A606" s="1004"/>
      <c r="B606" s="548"/>
      <c r="C606" s="1040"/>
      <c r="D606" s="1004"/>
      <c r="E606" s="521"/>
      <c r="F606" s="520"/>
      <c r="G606" s="522"/>
      <c r="H606" s="1005">
        <f>SUM(H602:H605)</f>
        <v>1436.211</v>
      </c>
      <c r="I606" s="1004"/>
      <c r="J606" s="520"/>
      <c r="K606" s="522"/>
      <c r="L606" s="520"/>
      <c r="M606" s="520"/>
      <c r="N606" s="1005">
        <f>SUM(N602:N605)</f>
        <v>164.31362580128206</v>
      </c>
      <c r="O606" s="1004"/>
      <c r="P606" s="520"/>
      <c r="Q606" s="520"/>
      <c r="R606" s="520"/>
      <c r="S606" s="520"/>
      <c r="T606" s="522">
        <f>SUM(T602:T605)</f>
        <v>24</v>
      </c>
      <c r="U606" s="522">
        <f>T606+N606+H606</f>
        <v>1624.5246258012821</v>
      </c>
      <c r="V606" s="1005">
        <f>U606*$U$4</f>
        <v>2190.4189255399483</v>
      </c>
    </row>
    <row r="607" spans="1:22" ht="12.75">
      <c r="A607" s="1002"/>
      <c r="B607" s="546"/>
      <c r="C607" s="1039"/>
      <c r="D607" s="1002"/>
      <c r="E607" s="413"/>
      <c r="F607" s="412"/>
      <c r="G607" s="414"/>
      <c r="H607" s="1057"/>
      <c r="I607" s="1002"/>
      <c r="J607" s="412"/>
      <c r="K607" s="414"/>
      <c r="L607" s="412"/>
      <c r="M607" s="412"/>
      <c r="N607" s="1091"/>
      <c r="O607" s="1002"/>
      <c r="P607" s="412"/>
      <c r="Q607" s="412"/>
      <c r="R607" s="412"/>
      <c r="S607" s="412"/>
      <c r="T607" s="514"/>
      <c r="U607" s="507"/>
      <c r="V607" s="694"/>
    </row>
    <row r="608" spans="1:22" ht="12.75">
      <c r="A608" s="1002">
        <v>18</v>
      </c>
      <c r="B608" s="546" t="s">
        <v>1366</v>
      </c>
      <c r="C608" s="1039" t="s">
        <v>1561</v>
      </c>
      <c r="D608" s="1002" t="s">
        <v>1367</v>
      </c>
      <c r="E608" s="413" t="s">
        <v>2850</v>
      </c>
      <c r="F608" s="412">
        <v>1.05</v>
      </c>
      <c r="G608" s="414">
        <f>'Material price'!D228</f>
        <v>1454.78</v>
      </c>
      <c r="H608" s="1059">
        <f>F608*G608</f>
        <v>1527.519</v>
      </c>
      <c r="I608" s="1002" t="s">
        <v>275</v>
      </c>
      <c r="J608" s="412">
        <v>1</v>
      </c>
      <c r="K608" s="414">
        <v>0.25</v>
      </c>
      <c r="L608" s="415">
        <f>L597</f>
        <v>20.81362580128205</v>
      </c>
      <c r="M608" s="412">
        <v>0.2</v>
      </c>
      <c r="N608" s="1090">
        <f>K608*L608/M608</f>
        <v>26.01703225160256</v>
      </c>
      <c r="O608" s="1002" t="s">
        <v>277</v>
      </c>
      <c r="P608" s="412">
        <v>2</v>
      </c>
      <c r="Q608" s="412">
        <v>1</v>
      </c>
      <c r="R608" s="414">
        <v>3</v>
      </c>
      <c r="S608" s="412">
        <v>0.2</v>
      </c>
      <c r="T608" s="515">
        <f>P608*Q608*R608/S608</f>
        <v>30</v>
      </c>
      <c r="U608" s="507"/>
      <c r="V608" s="694"/>
    </row>
    <row r="609" spans="1:22" ht="12.75">
      <c r="A609" s="1002"/>
      <c r="B609" s="546" t="s">
        <v>1368</v>
      </c>
      <c r="C609" s="1039"/>
      <c r="D609" s="1002"/>
      <c r="E609" s="413"/>
      <c r="F609" s="412"/>
      <c r="G609" s="414"/>
      <c r="H609" s="1057"/>
      <c r="I609" s="1002" t="s">
        <v>808</v>
      </c>
      <c r="J609" s="412">
        <v>1</v>
      </c>
      <c r="K609" s="414">
        <v>1</v>
      </c>
      <c r="L609" s="415">
        <f>L598</f>
        <v>9.625</v>
      </c>
      <c r="M609" s="412">
        <v>0.2</v>
      </c>
      <c r="N609" s="1090">
        <f>K609*L609/M609</f>
        <v>48.125</v>
      </c>
      <c r="O609" s="1002"/>
      <c r="P609" s="412"/>
      <c r="Q609" s="412"/>
      <c r="R609" s="412"/>
      <c r="S609" s="412"/>
      <c r="T609" s="514"/>
      <c r="U609" s="507"/>
      <c r="V609" s="694"/>
    </row>
    <row r="610" spans="1:22" ht="12.75">
      <c r="A610" s="1002"/>
      <c r="B610" s="546"/>
      <c r="C610" s="1039"/>
      <c r="D610" s="1002"/>
      <c r="E610" s="413"/>
      <c r="F610" s="412"/>
      <c r="G610" s="414"/>
      <c r="H610" s="1057"/>
      <c r="I610" s="1002" t="s">
        <v>810</v>
      </c>
      <c r="J610" s="412">
        <v>2</v>
      </c>
      <c r="K610" s="414">
        <v>1</v>
      </c>
      <c r="L610" s="415">
        <f>L599</f>
        <v>8.75</v>
      </c>
      <c r="M610" s="412">
        <v>0.2</v>
      </c>
      <c r="N610" s="1090">
        <f>K610*L610/M610</f>
        <v>43.75</v>
      </c>
      <c r="O610" s="1002"/>
      <c r="P610" s="412"/>
      <c r="Q610" s="412"/>
      <c r="R610" s="412"/>
      <c r="S610" s="412"/>
      <c r="T610" s="514"/>
      <c r="U610" s="507"/>
      <c r="V610" s="694"/>
    </row>
    <row r="611" spans="1:22" ht="12.75">
      <c r="A611" s="1002"/>
      <c r="B611" s="546"/>
      <c r="C611" s="1039"/>
      <c r="D611" s="1002"/>
      <c r="E611" s="413"/>
      <c r="F611" s="412"/>
      <c r="G611" s="414"/>
      <c r="H611" s="1057"/>
      <c r="I611" s="1002" t="s">
        <v>1857</v>
      </c>
      <c r="J611" s="412">
        <v>1</v>
      </c>
      <c r="K611" s="414">
        <v>0.25</v>
      </c>
      <c r="L611" s="415">
        <f>L605</f>
        <v>35</v>
      </c>
      <c r="M611" s="412">
        <v>0.2</v>
      </c>
      <c r="N611" s="1090">
        <f>K611*L611/M611</f>
        <v>43.75</v>
      </c>
      <c r="O611" s="1002"/>
      <c r="P611" s="412"/>
      <c r="Q611" s="412"/>
      <c r="R611" s="412"/>
      <c r="S611" s="412"/>
      <c r="T611" s="514"/>
      <c r="U611" s="507"/>
      <c r="V611" s="694"/>
    </row>
    <row r="612" spans="1:22" ht="12.75">
      <c r="A612" s="1004"/>
      <c r="B612" s="548"/>
      <c r="C612" s="1040"/>
      <c r="D612" s="1004"/>
      <c r="E612" s="521"/>
      <c r="F612" s="520"/>
      <c r="G612" s="522"/>
      <c r="H612" s="1005">
        <f>SUM(H608:H611)</f>
        <v>1527.519</v>
      </c>
      <c r="I612" s="1004"/>
      <c r="J612" s="520"/>
      <c r="K612" s="522"/>
      <c r="L612" s="520"/>
      <c r="M612" s="520"/>
      <c r="N612" s="1005">
        <f>SUM(N608:N611)</f>
        <v>161.64203225160256</v>
      </c>
      <c r="O612" s="1004"/>
      <c r="P612" s="520"/>
      <c r="Q612" s="520"/>
      <c r="R612" s="520"/>
      <c r="S612" s="520"/>
      <c r="T612" s="522">
        <f>SUM(T608:T611)</f>
        <v>30</v>
      </c>
      <c r="U612" s="522">
        <f>T612+N612+H612</f>
        <v>1719.1610322516026</v>
      </c>
      <c r="V612" s="1005">
        <f>U612*$U$4</f>
        <v>2318.0214084088225</v>
      </c>
    </row>
    <row r="613" spans="1:22" ht="12.75">
      <c r="A613" s="1002"/>
      <c r="B613" s="546"/>
      <c r="C613" s="1039"/>
      <c r="D613" s="1002"/>
      <c r="E613" s="413"/>
      <c r="F613" s="412"/>
      <c r="G613" s="414"/>
      <c r="H613" s="1057"/>
      <c r="I613" s="1002"/>
      <c r="J613" s="412"/>
      <c r="K613" s="414"/>
      <c r="L613" s="412"/>
      <c r="M613" s="412"/>
      <c r="N613" s="1091"/>
      <c r="O613" s="1002"/>
      <c r="P613" s="412"/>
      <c r="Q613" s="412"/>
      <c r="R613" s="412"/>
      <c r="S613" s="412"/>
      <c r="T613" s="514"/>
      <c r="U613" s="507"/>
      <c r="V613" s="694"/>
    </row>
    <row r="614" spans="1:22" ht="12.75">
      <c r="A614" s="1002">
        <v>19</v>
      </c>
      <c r="B614" s="546" t="s">
        <v>1369</v>
      </c>
      <c r="C614" s="1039" t="s">
        <v>1561</v>
      </c>
      <c r="D614" s="1002" t="s">
        <v>1370</v>
      </c>
      <c r="E614" s="413" t="s">
        <v>2850</v>
      </c>
      <c r="F614" s="412">
        <v>1.05</v>
      </c>
      <c r="G614" s="414">
        <v>250</v>
      </c>
      <c r="H614" s="1059">
        <f>F614*G614</f>
        <v>262.5</v>
      </c>
      <c r="I614" s="1002" t="s">
        <v>275</v>
      </c>
      <c r="J614" s="412">
        <v>1</v>
      </c>
      <c r="K614" s="414">
        <v>0.25</v>
      </c>
      <c r="L614" s="415">
        <f>L608</f>
        <v>20.81362580128205</v>
      </c>
      <c r="M614" s="412">
        <v>0.25</v>
      </c>
      <c r="N614" s="1090">
        <f>K614*L614/M614</f>
        <v>20.81362580128205</v>
      </c>
      <c r="O614" s="1002" t="s">
        <v>277</v>
      </c>
      <c r="P614" s="412">
        <v>2</v>
      </c>
      <c r="Q614" s="412">
        <v>1</v>
      </c>
      <c r="R614" s="414">
        <v>3</v>
      </c>
      <c r="S614" s="412">
        <v>0.25</v>
      </c>
      <c r="T614" s="515">
        <f>P614*Q614*R614/S614</f>
        <v>24</v>
      </c>
      <c r="U614" s="507"/>
      <c r="V614" s="694"/>
    </row>
    <row r="615" spans="1:22" ht="12.75">
      <c r="A615" s="1002"/>
      <c r="B615" s="546" t="s">
        <v>1704</v>
      </c>
      <c r="C615" s="1039"/>
      <c r="D615" s="1002"/>
      <c r="E615" s="413"/>
      <c r="F615" s="412"/>
      <c r="G615" s="414"/>
      <c r="H615" s="1057"/>
      <c r="I615" s="1002" t="s">
        <v>808</v>
      </c>
      <c r="J615" s="412">
        <v>1</v>
      </c>
      <c r="K615" s="414">
        <v>1</v>
      </c>
      <c r="L615" s="415">
        <f>L609</f>
        <v>9.625</v>
      </c>
      <c r="M615" s="412">
        <v>0.25</v>
      </c>
      <c r="N615" s="1090">
        <f>K615*L615/M615</f>
        <v>38.5</v>
      </c>
      <c r="O615" s="1002"/>
      <c r="P615" s="412"/>
      <c r="Q615" s="412"/>
      <c r="R615" s="412"/>
      <c r="S615" s="412"/>
      <c r="T615" s="514"/>
      <c r="U615" s="507"/>
      <c r="V615" s="694"/>
    </row>
    <row r="616" spans="1:22" ht="12.75">
      <c r="A616" s="1002"/>
      <c r="B616" s="546"/>
      <c r="C616" s="1039"/>
      <c r="D616" s="1002"/>
      <c r="E616" s="413"/>
      <c r="F616" s="412"/>
      <c r="G616" s="414"/>
      <c r="H616" s="1057"/>
      <c r="I616" s="1002" t="s">
        <v>810</v>
      </c>
      <c r="J616" s="412">
        <v>2</v>
      </c>
      <c r="K616" s="414">
        <v>1</v>
      </c>
      <c r="L616" s="415">
        <f>L610</f>
        <v>8.75</v>
      </c>
      <c r="M616" s="412">
        <v>0.25</v>
      </c>
      <c r="N616" s="1090">
        <f>K616*L616/M616</f>
        <v>35</v>
      </c>
      <c r="O616" s="1002"/>
      <c r="P616" s="412"/>
      <c r="Q616" s="412"/>
      <c r="R616" s="412"/>
      <c r="S616" s="412"/>
      <c r="T616" s="514"/>
      <c r="U616" s="507"/>
      <c r="V616" s="694"/>
    </row>
    <row r="617" spans="1:22" ht="12.75">
      <c r="A617" s="1002"/>
      <c r="B617" s="546"/>
      <c r="C617" s="1039"/>
      <c r="D617" s="1002"/>
      <c r="E617" s="413"/>
      <c r="F617" s="412"/>
      <c r="G617" s="414"/>
      <c r="H617" s="1057"/>
      <c r="I617" s="1002" t="s">
        <v>1857</v>
      </c>
      <c r="J617" s="412">
        <v>1</v>
      </c>
      <c r="K617" s="414">
        <v>0.25</v>
      </c>
      <c r="L617" s="415">
        <f>L611</f>
        <v>35</v>
      </c>
      <c r="M617" s="412">
        <v>0.25</v>
      </c>
      <c r="N617" s="1090">
        <f>K617*L617/M617</f>
        <v>35</v>
      </c>
      <c r="O617" s="1002"/>
      <c r="P617" s="412"/>
      <c r="Q617" s="412"/>
      <c r="R617" s="412"/>
      <c r="S617" s="412"/>
      <c r="T617" s="514"/>
      <c r="U617" s="507"/>
      <c r="V617" s="694"/>
    </row>
    <row r="618" spans="1:22" ht="12.75">
      <c r="A618" s="1004"/>
      <c r="B618" s="548"/>
      <c r="C618" s="1040"/>
      <c r="D618" s="1004"/>
      <c r="E618" s="521"/>
      <c r="F618" s="520"/>
      <c r="G618" s="522"/>
      <c r="H618" s="1005">
        <f>SUM(H614:H617)</f>
        <v>262.5</v>
      </c>
      <c r="I618" s="1004"/>
      <c r="J618" s="520"/>
      <c r="K618" s="522"/>
      <c r="L618" s="520"/>
      <c r="M618" s="520"/>
      <c r="N618" s="1005">
        <f>SUM(N614:N617)</f>
        <v>129.31362580128206</v>
      </c>
      <c r="O618" s="1004"/>
      <c r="P618" s="520"/>
      <c r="Q618" s="520"/>
      <c r="R618" s="520"/>
      <c r="S618" s="520"/>
      <c r="T618" s="522">
        <f>SUM(T614:T617)</f>
        <v>24</v>
      </c>
      <c r="U618" s="522">
        <f>H618+N618+T618</f>
        <v>415.81362580128206</v>
      </c>
      <c r="V618" s="1005">
        <f>U618*$U$4</f>
        <v>560.6600361648981</v>
      </c>
    </row>
    <row r="619" spans="1:22" ht="12.75">
      <c r="A619" s="1002"/>
      <c r="B619" s="546"/>
      <c r="C619" s="1039"/>
      <c r="D619" s="1002"/>
      <c r="E619" s="413"/>
      <c r="F619" s="412"/>
      <c r="G619" s="414"/>
      <c r="H619" s="1057"/>
      <c r="I619" s="1002"/>
      <c r="J619" s="412"/>
      <c r="K619" s="414"/>
      <c r="L619" s="412"/>
      <c r="M619" s="412"/>
      <c r="N619" s="1091"/>
      <c r="O619" s="1002"/>
      <c r="P619" s="412"/>
      <c r="Q619" s="412"/>
      <c r="R619" s="412"/>
      <c r="S619" s="412"/>
      <c r="T619" s="514"/>
      <c r="U619" s="507"/>
      <c r="V619" s="694"/>
    </row>
    <row r="620" spans="1:22" ht="12.75">
      <c r="A620" s="1002">
        <v>20</v>
      </c>
      <c r="B620" s="546" t="s">
        <v>1371</v>
      </c>
      <c r="C620" s="1039" t="s">
        <v>1561</v>
      </c>
      <c r="D620" s="1002" t="s">
        <v>1372</v>
      </c>
      <c r="E620" s="413" t="s">
        <v>2556</v>
      </c>
      <c r="F620" s="412">
        <v>1.05</v>
      </c>
      <c r="G620" s="414">
        <v>1100</v>
      </c>
      <c r="H620" s="1059">
        <f>F620*G620</f>
        <v>1155</v>
      </c>
      <c r="I620" s="1002" t="s">
        <v>275</v>
      </c>
      <c r="J620" s="412">
        <v>1</v>
      </c>
      <c r="K620" s="414">
        <v>0.25</v>
      </c>
      <c r="L620" s="415">
        <f>L614</f>
        <v>20.81362580128205</v>
      </c>
      <c r="M620" s="412">
        <v>0.125</v>
      </c>
      <c r="N620" s="1090">
        <f>K620*L620/M620</f>
        <v>41.6272516025641</v>
      </c>
      <c r="O620" s="1002" t="s">
        <v>277</v>
      </c>
      <c r="P620" s="412">
        <v>2</v>
      </c>
      <c r="Q620" s="412">
        <v>1</v>
      </c>
      <c r="R620" s="414">
        <v>3</v>
      </c>
      <c r="S620" s="422">
        <v>0.125</v>
      </c>
      <c r="T620" s="515">
        <f>P620*Q620*R620/S620</f>
        <v>48</v>
      </c>
      <c r="U620" s="507"/>
      <c r="V620" s="694"/>
    </row>
    <row r="621" spans="1:22" ht="12.75">
      <c r="A621" s="1002"/>
      <c r="B621" s="546" t="s">
        <v>1373</v>
      </c>
      <c r="C621" s="1039"/>
      <c r="D621" s="1002"/>
      <c r="E621" s="413"/>
      <c r="F621" s="412"/>
      <c r="G621" s="414"/>
      <c r="H621" s="1057"/>
      <c r="I621" s="1002" t="s">
        <v>808</v>
      </c>
      <c r="J621" s="412">
        <v>1</v>
      </c>
      <c r="K621" s="414">
        <v>1</v>
      </c>
      <c r="L621" s="415">
        <f>L615</f>
        <v>9.625</v>
      </c>
      <c r="M621" s="412">
        <v>0.125</v>
      </c>
      <c r="N621" s="1090">
        <f>K621*L621/M621</f>
        <v>77</v>
      </c>
      <c r="O621" s="1002"/>
      <c r="P621" s="412"/>
      <c r="Q621" s="412"/>
      <c r="R621" s="412"/>
      <c r="S621" s="412"/>
      <c r="T621" s="514"/>
      <c r="U621" s="507"/>
      <c r="V621" s="694"/>
    </row>
    <row r="622" spans="1:22" ht="12.75">
      <c r="A622" s="1002"/>
      <c r="B622" s="546"/>
      <c r="C622" s="1039"/>
      <c r="D622" s="1002" t="s">
        <v>809</v>
      </c>
      <c r="E622" s="413" t="s">
        <v>3099</v>
      </c>
      <c r="F622" s="412">
        <v>0.12</v>
      </c>
      <c r="G622" s="414"/>
      <c r="H622" s="1057"/>
      <c r="I622" s="1002" t="s">
        <v>810</v>
      </c>
      <c r="J622" s="412">
        <v>2</v>
      </c>
      <c r="K622" s="414">
        <v>1</v>
      </c>
      <c r="L622" s="415">
        <f>L616</f>
        <v>8.75</v>
      </c>
      <c r="M622" s="412">
        <v>0.125</v>
      </c>
      <c r="N622" s="1090">
        <f>K622*L622/M622</f>
        <v>70</v>
      </c>
      <c r="O622" s="1002"/>
      <c r="P622" s="412"/>
      <c r="Q622" s="412"/>
      <c r="R622" s="412"/>
      <c r="S622" s="412"/>
      <c r="T622" s="514"/>
      <c r="U622" s="507"/>
      <c r="V622" s="694"/>
    </row>
    <row r="623" spans="1:22" ht="12.75">
      <c r="A623" s="1002"/>
      <c r="B623" s="546"/>
      <c r="C623" s="1039"/>
      <c r="D623" s="1002"/>
      <c r="E623" s="413"/>
      <c r="F623" s="412"/>
      <c r="G623" s="414"/>
      <c r="H623" s="1057"/>
      <c r="I623" s="1002" t="s">
        <v>1857</v>
      </c>
      <c r="J623" s="412">
        <v>1</v>
      </c>
      <c r="K623" s="414">
        <v>0.25</v>
      </c>
      <c r="L623" s="415">
        <f>L617</f>
        <v>35</v>
      </c>
      <c r="M623" s="412">
        <v>0.125</v>
      </c>
      <c r="N623" s="1090">
        <f>K623*L623/M623</f>
        <v>70</v>
      </c>
      <c r="O623" s="1002"/>
      <c r="P623" s="412"/>
      <c r="Q623" s="412"/>
      <c r="R623" s="412"/>
      <c r="S623" s="412"/>
      <c r="T623" s="514"/>
      <c r="U623" s="507"/>
      <c r="V623" s="694"/>
    </row>
    <row r="624" spans="1:22" ht="12.75">
      <c r="A624" s="1004"/>
      <c r="B624" s="548"/>
      <c r="C624" s="1040"/>
      <c r="D624" s="1004"/>
      <c r="E624" s="521"/>
      <c r="F624" s="520"/>
      <c r="G624" s="522"/>
      <c r="H624" s="1005">
        <v>1155</v>
      </c>
      <c r="I624" s="1004"/>
      <c r="J624" s="520"/>
      <c r="K624" s="522"/>
      <c r="L624" s="520"/>
      <c r="M624" s="520"/>
      <c r="N624" s="1005">
        <f>SUM(N620:N623)</f>
        <v>258.6272516025641</v>
      </c>
      <c r="O624" s="1004"/>
      <c r="P624" s="520"/>
      <c r="Q624" s="520"/>
      <c r="R624" s="520"/>
      <c r="S624" s="520"/>
      <c r="T624" s="522">
        <f>SUM(T620:T623)</f>
        <v>48</v>
      </c>
      <c r="U624" s="522">
        <f>T624+N624+H624</f>
        <v>1461.6272516025642</v>
      </c>
      <c r="V624" s="1005">
        <f>U624*$U$4</f>
        <v>1970.7771388297963</v>
      </c>
    </row>
    <row r="625" spans="1:22" ht="12.75">
      <c r="A625" s="1002"/>
      <c r="B625" s="546"/>
      <c r="C625" s="1039"/>
      <c r="D625" s="1002"/>
      <c r="E625" s="413"/>
      <c r="F625" s="412"/>
      <c r="G625" s="414"/>
      <c r="H625" s="1057"/>
      <c r="I625" s="1002"/>
      <c r="J625" s="412"/>
      <c r="K625" s="414"/>
      <c r="L625" s="412"/>
      <c r="M625" s="412"/>
      <c r="N625" s="1091"/>
      <c r="O625" s="1002"/>
      <c r="P625" s="412"/>
      <c r="Q625" s="412"/>
      <c r="R625" s="412"/>
      <c r="S625" s="412"/>
      <c r="T625" s="514"/>
      <c r="U625" s="507"/>
      <c r="V625" s="694"/>
    </row>
    <row r="626" spans="1:22" ht="12.75">
      <c r="A626" s="1002"/>
      <c r="B626" s="546"/>
      <c r="C626" s="1039"/>
      <c r="D626" s="1002"/>
      <c r="E626" s="413"/>
      <c r="F626" s="412"/>
      <c r="G626" s="414"/>
      <c r="H626" s="1057"/>
      <c r="I626" s="1002"/>
      <c r="J626" s="412"/>
      <c r="K626" s="414"/>
      <c r="L626" s="412"/>
      <c r="M626" s="412"/>
      <c r="N626" s="1091"/>
      <c r="O626" s="1002"/>
      <c r="P626" s="412"/>
      <c r="Q626" s="412"/>
      <c r="R626" s="412"/>
      <c r="S626" s="412"/>
      <c r="T626" s="514"/>
      <c r="U626" s="507"/>
      <c r="V626" s="694"/>
    </row>
    <row r="627" spans="1:22" ht="12.75">
      <c r="A627" s="1002">
        <v>21</v>
      </c>
      <c r="B627" s="546" t="s">
        <v>2320</v>
      </c>
      <c r="C627" s="1039" t="s">
        <v>1561</v>
      </c>
      <c r="D627" s="1002" t="s">
        <v>1374</v>
      </c>
      <c r="E627" s="413" t="s">
        <v>2556</v>
      </c>
      <c r="F627" s="412">
        <v>1.05</v>
      </c>
      <c r="G627" s="414">
        <f>'Material price'!D232</f>
        <v>3113.04</v>
      </c>
      <c r="H627" s="1057">
        <f>F627*G627</f>
        <v>3268.692</v>
      </c>
      <c r="I627" s="1002" t="s">
        <v>275</v>
      </c>
      <c r="J627" s="412">
        <v>1</v>
      </c>
      <c r="K627" s="414">
        <v>0.25</v>
      </c>
      <c r="L627" s="415">
        <f>L620</f>
        <v>20.81362580128205</v>
      </c>
      <c r="M627" s="412">
        <v>0.125</v>
      </c>
      <c r="N627" s="1090">
        <f>K627*L627/M627</f>
        <v>41.6272516025641</v>
      </c>
      <c r="O627" s="1002" t="s">
        <v>277</v>
      </c>
      <c r="P627" s="412">
        <v>2</v>
      </c>
      <c r="Q627" s="412">
        <v>1</v>
      </c>
      <c r="R627" s="414">
        <v>3</v>
      </c>
      <c r="S627" s="422">
        <v>0.125</v>
      </c>
      <c r="T627" s="515">
        <f>P627*Q627*R627/S627</f>
        <v>48</v>
      </c>
      <c r="U627" s="507"/>
      <c r="V627" s="694"/>
    </row>
    <row r="628" spans="1:22" ht="12.75">
      <c r="A628" s="1002"/>
      <c r="B628" s="546" t="s">
        <v>2321</v>
      </c>
      <c r="C628" s="1039"/>
      <c r="D628" s="1002" t="s">
        <v>809</v>
      </c>
      <c r="E628" s="413" t="s">
        <v>3099</v>
      </c>
      <c r="F628" s="412">
        <v>0.03</v>
      </c>
      <c r="G628" s="414"/>
      <c r="H628" s="1057"/>
      <c r="I628" s="1002" t="s">
        <v>808</v>
      </c>
      <c r="J628" s="412">
        <v>1</v>
      </c>
      <c r="K628" s="414">
        <v>1</v>
      </c>
      <c r="L628" s="415">
        <f>L621</f>
        <v>9.625</v>
      </c>
      <c r="M628" s="412">
        <v>0.125</v>
      </c>
      <c r="N628" s="1090">
        <f>K628*L628/M628</f>
        <v>77</v>
      </c>
      <c r="O628" s="1002"/>
      <c r="P628" s="412"/>
      <c r="Q628" s="412"/>
      <c r="R628" s="412"/>
      <c r="S628" s="412"/>
      <c r="T628" s="514"/>
      <c r="U628" s="507"/>
      <c r="V628" s="694"/>
    </row>
    <row r="629" spans="1:22" ht="12.75">
      <c r="A629" s="1002"/>
      <c r="B629" s="546"/>
      <c r="C629" s="1039"/>
      <c r="D629" s="1002" t="s">
        <v>1375</v>
      </c>
      <c r="E629" s="413" t="s">
        <v>2556</v>
      </c>
      <c r="F629" s="414">
        <v>4.2</v>
      </c>
      <c r="G629" s="414"/>
      <c r="H629" s="1057"/>
      <c r="I629" s="1002" t="s">
        <v>810</v>
      </c>
      <c r="J629" s="412">
        <v>2</v>
      </c>
      <c r="K629" s="414">
        <v>1</v>
      </c>
      <c r="L629" s="415">
        <f>L622</f>
        <v>8.75</v>
      </c>
      <c r="M629" s="412">
        <v>0.125</v>
      </c>
      <c r="N629" s="1090">
        <f>K629*L629/M629</f>
        <v>70</v>
      </c>
      <c r="O629" s="1002"/>
      <c r="P629" s="412"/>
      <c r="Q629" s="412"/>
      <c r="R629" s="412"/>
      <c r="S629" s="412"/>
      <c r="T629" s="514"/>
      <c r="U629" s="507"/>
      <c r="V629" s="694"/>
    </row>
    <row r="630" spans="1:22" ht="12.75">
      <c r="A630" s="1002"/>
      <c r="B630" s="546"/>
      <c r="C630" s="1039"/>
      <c r="D630" s="1002"/>
      <c r="E630" s="413"/>
      <c r="F630" s="412"/>
      <c r="G630" s="414"/>
      <c r="H630" s="1057"/>
      <c r="I630" s="1002" t="s">
        <v>1857</v>
      </c>
      <c r="J630" s="412">
        <v>1</v>
      </c>
      <c r="K630" s="414">
        <v>0.25</v>
      </c>
      <c r="L630" s="415">
        <f>L623</f>
        <v>35</v>
      </c>
      <c r="M630" s="412">
        <v>0.125</v>
      </c>
      <c r="N630" s="1090">
        <f>K630*L630/M630</f>
        <v>70</v>
      </c>
      <c r="O630" s="1002"/>
      <c r="P630" s="412"/>
      <c r="Q630" s="412"/>
      <c r="R630" s="412"/>
      <c r="S630" s="412"/>
      <c r="T630" s="514"/>
      <c r="U630" s="507"/>
      <c r="V630" s="694"/>
    </row>
    <row r="631" spans="1:22" ht="12.75">
      <c r="A631" s="1004"/>
      <c r="B631" s="548"/>
      <c r="C631" s="1040"/>
      <c r="D631" s="1004"/>
      <c r="E631" s="521"/>
      <c r="F631" s="520"/>
      <c r="G631" s="522"/>
      <c r="H631" s="1058">
        <f>SUM(H627:H630)</f>
        <v>3268.692</v>
      </c>
      <c r="I631" s="1004"/>
      <c r="J631" s="520"/>
      <c r="K631" s="522"/>
      <c r="L631" s="520"/>
      <c r="M631" s="520"/>
      <c r="N631" s="1005">
        <f>SUM(N627:N630)</f>
        <v>258.6272516025641</v>
      </c>
      <c r="O631" s="1004"/>
      <c r="P631" s="520"/>
      <c r="Q631" s="520"/>
      <c r="R631" s="520"/>
      <c r="S631" s="520"/>
      <c r="T631" s="522">
        <f>SUM(T627:T630)</f>
        <v>48</v>
      </c>
      <c r="U631" s="522">
        <f>T631+N631+H631</f>
        <v>3575.3192516025642</v>
      </c>
      <c r="V631" s="1005">
        <f>U631*$U$4</f>
        <v>4820.762227408396</v>
      </c>
    </row>
    <row r="632" spans="1:22" ht="12.75">
      <c r="A632" s="1002"/>
      <c r="B632" s="546"/>
      <c r="C632" s="1039"/>
      <c r="D632" s="1002"/>
      <c r="E632" s="413"/>
      <c r="F632" s="412"/>
      <c r="G632" s="414"/>
      <c r="H632" s="1057"/>
      <c r="I632" s="1002"/>
      <c r="J632" s="412"/>
      <c r="K632" s="414"/>
      <c r="L632" s="412"/>
      <c r="M632" s="412"/>
      <c r="N632" s="1091"/>
      <c r="O632" s="1002"/>
      <c r="P632" s="412"/>
      <c r="Q632" s="412"/>
      <c r="R632" s="412"/>
      <c r="S632" s="412"/>
      <c r="T632" s="514"/>
      <c r="U632" s="507"/>
      <c r="V632" s="694"/>
    </row>
    <row r="633" spans="1:22" ht="12.75">
      <c r="A633" s="1002">
        <v>22</v>
      </c>
      <c r="B633" s="546" t="s">
        <v>310</v>
      </c>
      <c r="C633" s="1039" t="s">
        <v>2556</v>
      </c>
      <c r="D633" s="1002" t="s">
        <v>311</v>
      </c>
      <c r="E633" s="413" t="s">
        <v>2556</v>
      </c>
      <c r="F633" s="412">
        <v>1.05</v>
      </c>
      <c r="G633" s="414">
        <f>'Material price'!D231</f>
        <v>1437.37</v>
      </c>
      <c r="H633" s="1059">
        <f>F633*G633</f>
        <v>1509.2385</v>
      </c>
      <c r="I633" s="1002" t="s">
        <v>275</v>
      </c>
      <c r="J633" s="412">
        <v>1</v>
      </c>
      <c r="K633" s="414">
        <v>0.25</v>
      </c>
      <c r="L633" s="415">
        <f>L627</f>
        <v>20.81362580128205</v>
      </c>
      <c r="M633" s="412">
        <v>0.25</v>
      </c>
      <c r="N633" s="1090">
        <f>K633*L633/M633</f>
        <v>20.81362580128205</v>
      </c>
      <c r="O633" s="1002" t="s">
        <v>277</v>
      </c>
      <c r="P633" s="412">
        <v>2</v>
      </c>
      <c r="Q633" s="412">
        <v>1</v>
      </c>
      <c r="R633" s="414">
        <v>3</v>
      </c>
      <c r="S633" s="412">
        <v>0.25</v>
      </c>
      <c r="T633" s="515">
        <f>P633*Q633*R633/S633</f>
        <v>24</v>
      </c>
      <c r="U633" s="507"/>
      <c r="V633" s="694"/>
    </row>
    <row r="634" spans="1:22" ht="12.75">
      <c r="A634" s="1002"/>
      <c r="B634" s="546" t="s">
        <v>1373</v>
      </c>
      <c r="C634" s="1039"/>
      <c r="D634" s="1002" t="s">
        <v>1173</v>
      </c>
      <c r="E634" s="413" t="s">
        <v>484</v>
      </c>
      <c r="F634" s="412">
        <v>0.06</v>
      </c>
      <c r="G634" s="414">
        <f>G397</f>
        <v>1735.8392651707413</v>
      </c>
      <c r="H634" s="1059">
        <f>F634*G634</f>
        <v>104.15035591024447</v>
      </c>
      <c r="I634" s="1002" t="s">
        <v>808</v>
      </c>
      <c r="J634" s="412">
        <v>1</v>
      </c>
      <c r="K634" s="414">
        <v>1</v>
      </c>
      <c r="L634" s="415">
        <f>L628</f>
        <v>9.625</v>
      </c>
      <c r="M634" s="412">
        <v>0.25</v>
      </c>
      <c r="N634" s="1090">
        <f>K634*L634/M634</f>
        <v>38.5</v>
      </c>
      <c r="O634" s="1002"/>
      <c r="P634" s="412"/>
      <c r="Q634" s="412"/>
      <c r="R634" s="412"/>
      <c r="S634" s="412"/>
      <c r="T634" s="514"/>
      <c r="U634" s="507"/>
      <c r="V634" s="694"/>
    </row>
    <row r="635" spans="1:22" ht="12.75">
      <c r="A635" s="1002"/>
      <c r="B635" s="546"/>
      <c r="C635" s="1039"/>
      <c r="D635" s="1002" t="s">
        <v>809</v>
      </c>
      <c r="E635" s="413" t="s">
        <v>3099</v>
      </c>
      <c r="F635" s="412">
        <v>0.12</v>
      </c>
      <c r="G635" s="414">
        <v>0.2</v>
      </c>
      <c r="H635" s="1059">
        <f>F635*G635</f>
        <v>0.024</v>
      </c>
      <c r="I635" s="1002" t="s">
        <v>810</v>
      </c>
      <c r="J635" s="412">
        <v>2</v>
      </c>
      <c r="K635" s="414">
        <v>1</v>
      </c>
      <c r="L635" s="415">
        <f>L629</f>
        <v>8.75</v>
      </c>
      <c r="M635" s="412">
        <v>0.25</v>
      </c>
      <c r="N635" s="1090">
        <f>K635*L635/M635</f>
        <v>35</v>
      </c>
      <c r="O635" s="1002"/>
      <c r="P635" s="412"/>
      <c r="Q635" s="412"/>
      <c r="R635" s="412"/>
      <c r="S635" s="412"/>
      <c r="T635" s="514"/>
      <c r="U635" s="507"/>
      <c r="V635" s="694"/>
    </row>
    <row r="636" spans="1:22" ht="12.75">
      <c r="A636" s="1002"/>
      <c r="B636" s="546"/>
      <c r="C636" s="1039"/>
      <c r="D636" s="1002"/>
      <c r="E636" s="413"/>
      <c r="F636" s="412"/>
      <c r="G636" s="414"/>
      <c r="H636" s="1057"/>
      <c r="I636" s="1002" t="s">
        <v>1857</v>
      </c>
      <c r="J636" s="412">
        <v>1</v>
      </c>
      <c r="K636" s="414">
        <v>0.25</v>
      </c>
      <c r="L636" s="415">
        <f>L630</f>
        <v>35</v>
      </c>
      <c r="M636" s="412">
        <v>0.25</v>
      </c>
      <c r="N636" s="1090">
        <f>K636*L636/M636</f>
        <v>35</v>
      </c>
      <c r="O636" s="1002"/>
      <c r="P636" s="412"/>
      <c r="Q636" s="412"/>
      <c r="R636" s="412"/>
      <c r="S636" s="412"/>
      <c r="T636" s="514"/>
      <c r="U636" s="507"/>
      <c r="V636" s="694"/>
    </row>
    <row r="637" spans="1:22" ht="12.75">
      <c r="A637" s="1013"/>
      <c r="B637" s="1032"/>
      <c r="C637" s="1051"/>
      <c r="D637" s="1013"/>
      <c r="E637" s="542"/>
      <c r="F637" s="522"/>
      <c r="G637" s="522"/>
      <c r="H637" s="1005">
        <f>SUM(H633:H636)</f>
        <v>1613.4128559102444</v>
      </c>
      <c r="I637" s="1013"/>
      <c r="J637" s="522"/>
      <c r="K637" s="522"/>
      <c r="L637" s="522"/>
      <c r="M637" s="522"/>
      <c r="N637" s="1005">
        <f>SUM(N633:N636)</f>
        <v>129.31362580128206</v>
      </c>
      <c r="O637" s="1013"/>
      <c r="P637" s="522"/>
      <c r="Q637" s="522"/>
      <c r="R637" s="522"/>
      <c r="S637" s="522"/>
      <c r="T637" s="522">
        <f>SUM(T633:T636)</f>
        <v>24</v>
      </c>
      <c r="U637" s="522">
        <f>T637+N637+H637</f>
        <v>1766.7264817115265</v>
      </c>
      <c r="V637" s="1005">
        <f>U637*$U$4</f>
        <v>2382.1560229564116</v>
      </c>
    </row>
    <row r="638" spans="1:22" ht="12.75">
      <c r="A638" s="1002"/>
      <c r="B638" s="546"/>
      <c r="C638" s="1039"/>
      <c r="D638" s="1002"/>
      <c r="E638" s="413"/>
      <c r="F638" s="412"/>
      <c r="G638" s="414"/>
      <c r="H638" s="1057"/>
      <c r="I638" s="1002"/>
      <c r="J638" s="412"/>
      <c r="K638" s="414"/>
      <c r="L638" s="412"/>
      <c r="M638" s="412"/>
      <c r="N638" s="1091"/>
      <c r="O638" s="1002"/>
      <c r="P638" s="412"/>
      <c r="Q638" s="412"/>
      <c r="R638" s="412"/>
      <c r="S638" s="412"/>
      <c r="T638" s="514"/>
      <c r="U638" s="507"/>
      <c r="V638" s="694"/>
    </row>
    <row r="639" spans="1:22" ht="12.75">
      <c r="A639" s="1002">
        <v>23</v>
      </c>
      <c r="B639" s="546" t="s">
        <v>312</v>
      </c>
      <c r="C639" s="1039" t="s">
        <v>1561</v>
      </c>
      <c r="D639" s="1002" t="s">
        <v>312</v>
      </c>
      <c r="E639" s="413" t="s">
        <v>2556</v>
      </c>
      <c r="F639" s="412">
        <v>1.05</v>
      </c>
      <c r="G639" s="414">
        <v>250</v>
      </c>
      <c r="H639" s="1059">
        <f>F639*G639</f>
        <v>262.5</v>
      </c>
      <c r="I639" s="1002" t="s">
        <v>275</v>
      </c>
      <c r="J639" s="412">
        <v>1</v>
      </c>
      <c r="K639" s="414">
        <v>0.25</v>
      </c>
      <c r="L639" s="415">
        <f>L633</f>
        <v>20.81362580128205</v>
      </c>
      <c r="M639" s="412">
        <v>0.25</v>
      </c>
      <c r="N639" s="1090">
        <f>K639*L639/M639</f>
        <v>20.81362580128205</v>
      </c>
      <c r="O639" s="1002" t="s">
        <v>277</v>
      </c>
      <c r="P639" s="412">
        <v>2</v>
      </c>
      <c r="Q639" s="412">
        <v>1</v>
      </c>
      <c r="R639" s="414">
        <v>3</v>
      </c>
      <c r="S639" s="412">
        <v>0.25</v>
      </c>
      <c r="T639" s="515">
        <f>P639*Q639*R639/S639</f>
        <v>24</v>
      </c>
      <c r="U639" s="507"/>
      <c r="V639" s="694"/>
    </row>
    <row r="640" spans="1:22" ht="12.75">
      <c r="A640" s="1002"/>
      <c r="B640" s="546" t="s">
        <v>313</v>
      </c>
      <c r="C640" s="1039"/>
      <c r="D640" s="1002"/>
      <c r="E640" s="413"/>
      <c r="F640" s="412"/>
      <c r="G640" s="414"/>
      <c r="H640" s="1057"/>
      <c r="I640" s="1002" t="s">
        <v>808</v>
      </c>
      <c r="J640" s="412">
        <v>1</v>
      </c>
      <c r="K640" s="414">
        <v>1</v>
      </c>
      <c r="L640" s="415">
        <f>L634</f>
        <v>9.625</v>
      </c>
      <c r="M640" s="412">
        <v>0.25</v>
      </c>
      <c r="N640" s="1090">
        <f>K640*L640/M640</f>
        <v>38.5</v>
      </c>
      <c r="O640" s="1002"/>
      <c r="P640" s="412"/>
      <c r="Q640" s="412"/>
      <c r="R640" s="412"/>
      <c r="S640" s="412"/>
      <c r="T640" s="514"/>
      <c r="U640" s="507"/>
      <c r="V640" s="694"/>
    </row>
    <row r="641" spans="1:22" ht="12.75">
      <c r="A641" s="1002"/>
      <c r="B641" s="546" t="s">
        <v>1373</v>
      </c>
      <c r="C641" s="1039"/>
      <c r="D641" s="1002"/>
      <c r="E641" s="413"/>
      <c r="F641" s="412"/>
      <c r="G641" s="414"/>
      <c r="H641" s="1057"/>
      <c r="I641" s="1002" t="s">
        <v>810</v>
      </c>
      <c r="J641" s="412">
        <v>2</v>
      </c>
      <c r="K641" s="414">
        <v>1</v>
      </c>
      <c r="L641" s="415">
        <f>L635</f>
        <v>8.75</v>
      </c>
      <c r="M641" s="412">
        <v>0.25</v>
      </c>
      <c r="N641" s="1090">
        <f>K641*L641/M641</f>
        <v>35</v>
      </c>
      <c r="O641" s="1002"/>
      <c r="P641" s="412"/>
      <c r="Q641" s="412"/>
      <c r="R641" s="412"/>
      <c r="S641" s="412"/>
      <c r="T641" s="514"/>
      <c r="U641" s="507"/>
      <c r="V641" s="694"/>
    </row>
    <row r="642" spans="1:22" ht="12.75">
      <c r="A642" s="1004"/>
      <c r="B642" s="548"/>
      <c r="C642" s="1040"/>
      <c r="D642" s="1004"/>
      <c r="E642" s="521"/>
      <c r="F642" s="520"/>
      <c r="G642" s="522"/>
      <c r="H642" s="1005">
        <f>SUM(H639:H641)</f>
        <v>262.5</v>
      </c>
      <c r="I642" s="1004"/>
      <c r="J642" s="520"/>
      <c r="K642" s="522"/>
      <c r="L642" s="520"/>
      <c r="M642" s="520"/>
      <c r="N642" s="1005">
        <f>SUM(N639:N641)</f>
        <v>94.31362580128206</v>
      </c>
      <c r="O642" s="1004"/>
      <c r="P642" s="520"/>
      <c r="Q642" s="520"/>
      <c r="R642" s="520"/>
      <c r="S642" s="520"/>
      <c r="T642" s="522">
        <f>SUM(T639:T641)</f>
        <v>24</v>
      </c>
      <c r="U642" s="522">
        <f>T642+N642+H642</f>
        <v>380.81362580128206</v>
      </c>
      <c r="V642" s="1005">
        <f>U642*$U$4</f>
        <v>513.467976914898</v>
      </c>
    </row>
    <row r="643" spans="1:22" ht="9.75" customHeight="1">
      <c r="A643" s="1002"/>
      <c r="B643" s="546"/>
      <c r="C643" s="1039"/>
      <c r="D643" s="1002"/>
      <c r="E643" s="413"/>
      <c r="F643" s="412"/>
      <c r="G643" s="414"/>
      <c r="H643" s="1057"/>
      <c r="I643" s="1002"/>
      <c r="J643" s="412"/>
      <c r="K643" s="414"/>
      <c r="L643" s="412"/>
      <c r="M643" s="412"/>
      <c r="N643" s="1091"/>
      <c r="O643" s="1002"/>
      <c r="P643" s="412"/>
      <c r="Q643" s="412"/>
      <c r="R643" s="412"/>
      <c r="S643" s="412"/>
      <c r="T643" s="514"/>
      <c r="U643" s="507"/>
      <c r="V643" s="694"/>
    </row>
    <row r="644" spans="1:22" ht="12.75">
      <c r="A644" s="1002">
        <v>24</v>
      </c>
      <c r="B644" s="546" t="s">
        <v>314</v>
      </c>
      <c r="C644" s="1039" t="s">
        <v>1561</v>
      </c>
      <c r="D644" s="1002" t="s">
        <v>312</v>
      </c>
      <c r="E644" s="413" t="s">
        <v>2556</v>
      </c>
      <c r="F644" s="412">
        <v>1.05</v>
      </c>
      <c r="G644" s="414">
        <v>350</v>
      </c>
      <c r="H644" s="1057">
        <f>G644*F644</f>
        <v>367.5</v>
      </c>
      <c r="I644" s="1002" t="s">
        <v>275</v>
      </c>
      <c r="J644" s="412">
        <v>1</v>
      </c>
      <c r="K644" s="414">
        <v>0.25</v>
      </c>
      <c r="L644" s="415">
        <f>L639</f>
        <v>20.81362580128205</v>
      </c>
      <c r="M644" s="412">
        <v>0.25</v>
      </c>
      <c r="N644" s="1090">
        <f>K644*L644/M644</f>
        <v>20.81362580128205</v>
      </c>
      <c r="O644" s="1002" t="s">
        <v>277</v>
      </c>
      <c r="P644" s="412">
        <v>2</v>
      </c>
      <c r="Q644" s="412">
        <v>1</v>
      </c>
      <c r="R644" s="414">
        <v>3</v>
      </c>
      <c r="S644" s="412">
        <v>0.25</v>
      </c>
      <c r="T644" s="515">
        <f>P644*Q644*R644/S644</f>
        <v>24</v>
      </c>
      <c r="U644" s="507"/>
      <c r="V644" s="694"/>
    </row>
    <row r="645" spans="1:22" ht="12.75">
      <c r="A645" s="1002"/>
      <c r="B645" s="546"/>
      <c r="C645" s="1039"/>
      <c r="D645" s="1002"/>
      <c r="E645" s="413"/>
      <c r="F645" s="412"/>
      <c r="G645" s="414"/>
      <c r="H645" s="1057"/>
      <c r="I645" s="1002" t="s">
        <v>808</v>
      </c>
      <c r="J645" s="412">
        <v>1</v>
      </c>
      <c r="K645" s="414">
        <v>1</v>
      </c>
      <c r="L645" s="415">
        <f>L640</f>
        <v>9.625</v>
      </c>
      <c r="M645" s="412">
        <v>0.25</v>
      </c>
      <c r="N645" s="1090">
        <f>K645*L645/M645</f>
        <v>38.5</v>
      </c>
      <c r="O645" s="1002"/>
      <c r="P645" s="412"/>
      <c r="Q645" s="412"/>
      <c r="R645" s="412"/>
      <c r="S645" s="412"/>
      <c r="T645" s="514"/>
      <c r="U645" s="507"/>
      <c r="V645" s="694"/>
    </row>
    <row r="646" spans="1:22" ht="12.75">
      <c r="A646" s="1002"/>
      <c r="B646" s="546"/>
      <c r="C646" s="1039"/>
      <c r="D646" s="1002"/>
      <c r="E646" s="413"/>
      <c r="F646" s="412"/>
      <c r="G646" s="414"/>
      <c r="H646" s="1057"/>
      <c r="I646" s="1002" t="s">
        <v>810</v>
      </c>
      <c r="J646" s="412">
        <v>2</v>
      </c>
      <c r="K646" s="414">
        <v>1</v>
      </c>
      <c r="L646" s="415">
        <f>L641</f>
        <v>8.75</v>
      </c>
      <c r="M646" s="412">
        <v>0.25</v>
      </c>
      <c r="N646" s="1090">
        <f>K646*L646/M646</f>
        <v>35</v>
      </c>
      <c r="O646" s="1002"/>
      <c r="P646" s="412"/>
      <c r="Q646" s="412"/>
      <c r="R646" s="412"/>
      <c r="S646" s="412"/>
      <c r="T646" s="514"/>
      <c r="U646" s="507"/>
      <c r="V646" s="694"/>
    </row>
    <row r="647" spans="1:22" ht="12.75">
      <c r="A647" s="1013"/>
      <c r="B647" s="1032"/>
      <c r="C647" s="1051"/>
      <c r="D647" s="1013"/>
      <c r="E647" s="542"/>
      <c r="F647" s="522"/>
      <c r="G647" s="522"/>
      <c r="H647" s="1005">
        <f>SUM(H644:H646)</f>
        <v>367.5</v>
      </c>
      <c r="I647" s="1013"/>
      <c r="J647" s="522"/>
      <c r="K647" s="522"/>
      <c r="L647" s="522"/>
      <c r="M647" s="522"/>
      <c r="N647" s="1005">
        <f>SUM(N644:N646)</f>
        <v>94.31362580128206</v>
      </c>
      <c r="O647" s="1013"/>
      <c r="P647" s="522"/>
      <c r="Q647" s="522"/>
      <c r="R647" s="522"/>
      <c r="S647" s="522"/>
      <c r="T647" s="522">
        <f>SUM(T644:T646)</f>
        <v>24</v>
      </c>
      <c r="U647" s="522">
        <f>T647+N647+H647</f>
        <v>485.81362580128206</v>
      </c>
      <c r="V647" s="1005">
        <f>U647*$U$4</f>
        <v>655.0441546648981</v>
      </c>
    </row>
    <row r="648" spans="1:22" ht="12.75">
      <c r="A648" s="1002"/>
      <c r="B648" s="546"/>
      <c r="C648" s="1039"/>
      <c r="D648" s="1002"/>
      <c r="E648" s="413"/>
      <c r="F648" s="412"/>
      <c r="G648" s="414"/>
      <c r="H648" s="1057"/>
      <c r="I648" s="1002"/>
      <c r="J648" s="412"/>
      <c r="K648" s="414"/>
      <c r="L648" s="412"/>
      <c r="M648" s="412"/>
      <c r="N648" s="1091"/>
      <c r="O648" s="1002"/>
      <c r="P648" s="412"/>
      <c r="Q648" s="412"/>
      <c r="R648" s="412"/>
      <c r="S648" s="412"/>
      <c r="T648" s="514"/>
      <c r="U648" s="507"/>
      <c r="V648" s="694"/>
    </row>
    <row r="649" spans="1:22" ht="12.75">
      <c r="A649" s="1002">
        <v>25</v>
      </c>
      <c r="B649" s="546" t="s">
        <v>315</v>
      </c>
      <c r="C649" s="1039" t="s">
        <v>1561</v>
      </c>
      <c r="D649" s="1002" t="s">
        <v>316</v>
      </c>
      <c r="E649" s="413" t="s">
        <v>2556</v>
      </c>
      <c r="F649" s="412">
        <v>1.05</v>
      </c>
      <c r="G649" s="414">
        <f>'Material price'!D236</f>
        <v>104.59</v>
      </c>
      <c r="H649" s="1059">
        <f>F649*G649</f>
        <v>109.8195</v>
      </c>
      <c r="I649" s="1002" t="s">
        <v>275</v>
      </c>
      <c r="J649" s="412">
        <v>1</v>
      </c>
      <c r="K649" s="414">
        <v>0.25</v>
      </c>
      <c r="L649" s="415">
        <f>L644</f>
        <v>20.81362580128205</v>
      </c>
      <c r="M649" s="414">
        <v>4</v>
      </c>
      <c r="N649" s="1090">
        <f>K649*L649/M649</f>
        <v>1.3008516125801282</v>
      </c>
      <c r="O649" s="1002" t="s">
        <v>277</v>
      </c>
      <c r="P649" s="412">
        <v>2</v>
      </c>
      <c r="Q649" s="412">
        <v>1</v>
      </c>
      <c r="R649" s="412">
        <v>0.4</v>
      </c>
      <c r="S649" s="414">
        <v>4</v>
      </c>
      <c r="T649" s="515">
        <f>P649*Q649*R649/S649</f>
        <v>0.2</v>
      </c>
      <c r="U649" s="507"/>
      <c r="V649" s="694"/>
    </row>
    <row r="650" spans="1:22" ht="12.75">
      <c r="A650" s="1002"/>
      <c r="B650" s="546" t="s">
        <v>317</v>
      </c>
      <c r="C650" s="1039"/>
      <c r="D650" s="1002"/>
      <c r="E650" s="413"/>
      <c r="F650" s="412"/>
      <c r="G650" s="414"/>
      <c r="H650" s="1059"/>
      <c r="I650" s="1002" t="s">
        <v>808</v>
      </c>
      <c r="J650" s="412">
        <v>1</v>
      </c>
      <c r="K650" s="414">
        <v>1</v>
      </c>
      <c r="L650" s="415">
        <f>L645</f>
        <v>9.625</v>
      </c>
      <c r="M650" s="414">
        <v>4</v>
      </c>
      <c r="N650" s="1090">
        <f>K650*L650/M650</f>
        <v>2.40625</v>
      </c>
      <c r="O650" s="1002"/>
      <c r="P650" s="412"/>
      <c r="Q650" s="412"/>
      <c r="R650" s="412"/>
      <c r="S650" s="412"/>
      <c r="T650" s="515"/>
      <c r="U650" s="507"/>
      <c r="V650" s="694"/>
    </row>
    <row r="651" spans="1:22" ht="12.75">
      <c r="A651" s="1002"/>
      <c r="B651" s="546"/>
      <c r="C651" s="1039"/>
      <c r="D651" s="1002"/>
      <c r="E651" s="413"/>
      <c r="F651" s="412"/>
      <c r="G651" s="414"/>
      <c r="H651" s="1059"/>
      <c r="I651" s="1002" t="s">
        <v>810</v>
      </c>
      <c r="J651" s="412">
        <v>2</v>
      </c>
      <c r="K651" s="414">
        <v>1</v>
      </c>
      <c r="L651" s="415">
        <f>L646</f>
        <v>8.75</v>
      </c>
      <c r="M651" s="414">
        <v>4</v>
      </c>
      <c r="N651" s="1090">
        <f>K651*L651/M651</f>
        <v>2.1875</v>
      </c>
      <c r="O651" s="1002"/>
      <c r="P651" s="412"/>
      <c r="Q651" s="412"/>
      <c r="R651" s="412"/>
      <c r="S651" s="412"/>
      <c r="T651" s="515"/>
      <c r="U651" s="507"/>
      <c r="V651" s="694"/>
    </row>
    <row r="652" spans="1:22" ht="12.75">
      <c r="A652" s="1004"/>
      <c r="B652" s="548"/>
      <c r="C652" s="1040"/>
      <c r="D652" s="1004"/>
      <c r="E652" s="521"/>
      <c r="F652" s="520"/>
      <c r="G652" s="522"/>
      <c r="H652" s="1005">
        <f>SUM(H649:H651)</f>
        <v>109.8195</v>
      </c>
      <c r="I652" s="1004"/>
      <c r="J652" s="520"/>
      <c r="K652" s="522"/>
      <c r="L652" s="520"/>
      <c r="M652" s="520"/>
      <c r="N652" s="1005">
        <f>SUM(N649:N651)</f>
        <v>5.894601612580129</v>
      </c>
      <c r="O652" s="1004"/>
      <c r="P652" s="520"/>
      <c r="Q652" s="520"/>
      <c r="R652" s="520"/>
      <c r="S652" s="520"/>
      <c r="T652" s="522">
        <f>SUM(T649:T651)</f>
        <v>0.2</v>
      </c>
      <c r="U652" s="522">
        <f>T652+N652+H652</f>
        <v>115.91410161258014</v>
      </c>
      <c r="V652" s="1005">
        <f>U652*$U$4</f>
        <v>156.29214717746865</v>
      </c>
    </row>
    <row r="653" spans="1:22" ht="12.75">
      <c r="A653" s="1002"/>
      <c r="B653" s="546"/>
      <c r="C653" s="1039"/>
      <c r="D653" s="1002"/>
      <c r="E653" s="413"/>
      <c r="F653" s="412"/>
      <c r="G653" s="414"/>
      <c r="H653" s="1057"/>
      <c r="I653" s="1002"/>
      <c r="J653" s="412"/>
      <c r="K653" s="414"/>
      <c r="L653" s="412"/>
      <c r="M653" s="412"/>
      <c r="N653" s="1091"/>
      <c r="O653" s="1002"/>
      <c r="P653" s="412"/>
      <c r="Q653" s="412"/>
      <c r="R653" s="412"/>
      <c r="S653" s="412"/>
      <c r="T653" s="514"/>
      <c r="U653" s="507"/>
      <c r="V653" s="694"/>
    </row>
    <row r="654" spans="1:22" ht="12.75">
      <c r="A654" s="1002">
        <v>26</v>
      </c>
      <c r="B654" s="546" t="s">
        <v>2379</v>
      </c>
      <c r="C654" s="1039" t="s">
        <v>1561</v>
      </c>
      <c r="D654" s="1002" t="s">
        <v>1137</v>
      </c>
      <c r="E654" s="413" t="s">
        <v>2556</v>
      </c>
      <c r="F654" s="412">
        <v>1.05</v>
      </c>
      <c r="G654" s="414">
        <f>'Material price'!D235</f>
        <v>104.59</v>
      </c>
      <c r="H654" s="1059">
        <f>F654*G654</f>
        <v>109.8195</v>
      </c>
      <c r="I654" s="1002" t="s">
        <v>275</v>
      </c>
      <c r="J654" s="412">
        <v>1</v>
      </c>
      <c r="K654" s="414">
        <v>0.25</v>
      </c>
      <c r="L654" s="415">
        <f>L649</f>
        <v>20.81362580128205</v>
      </c>
      <c r="M654" s="414">
        <v>4</v>
      </c>
      <c r="N654" s="1090">
        <f>K654*L654/M654</f>
        <v>1.3008516125801282</v>
      </c>
      <c r="O654" s="1002" t="s">
        <v>277</v>
      </c>
      <c r="P654" s="412">
        <v>2</v>
      </c>
      <c r="Q654" s="412">
        <v>1</v>
      </c>
      <c r="R654" s="412">
        <v>0.4</v>
      </c>
      <c r="S654" s="414">
        <v>4</v>
      </c>
      <c r="T654" s="515">
        <f>P654*Q654*R654/S654</f>
        <v>0.2</v>
      </c>
      <c r="U654" s="507"/>
      <c r="V654" s="694"/>
    </row>
    <row r="655" spans="1:22" ht="12.75">
      <c r="A655" s="1002"/>
      <c r="B655" s="546"/>
      <c r="C655" s="1039"/>
      <c r="D655" s="1002" t="s">
        <v>1704</v>
      </c>
      <c r="E655" s="413"/>
      <c r="F655" s="412"/>
      <c r="G655" s="414"/>
      <c r="H655" s="1059"/>
      <c r="I655" s="1002" t="s">
        <v>808</v>
      </c>
      <c r="J655" s="412">
        <v>1</v>
      </c>
      <c r="K655" s="414">
        <v>1</v>
      </c>
      <c r="L655" s="415">
        <f>L650</f>
        <v>9.625</v>
      </c>
      <c r="M655" s="414">
        <v>4</v>
      </c>
      <c r="N655" s="1090">
        <f>K655*L655/M655</f>
        <v>2.40625</v>
      </c>
      <c r="O655" s="1002"/>
      <c r="P655" s="412"/>
      <c r="Q655" s="412"/>
      <c r="R655" s="412"/>
      <c r="S655" s="412"/>
      <c r="T655" s="515"/>
      <c r="U655" s="507"/>
      <c r="V655" s="694"/>
    </row>
    <row r="656" spans="1:22" ht="12.75">
      <c r="A656" s="1002"/>
      <c r="B656" s="546"/>
      <c r="C656" s="1039"/>
      <c r="D656" s="1002"/>
      <c r="E656" s="413"/>
      <c r="F656" s="412"/>
      <c r="G656" s="414"/>
      <c r="H656" s="1059"/>
      <c r="I656" s="1002" t="s">
        <v>810</v>
      </c>
      <c r="J656" s="412">
        <v>2</v>
      </c>
      <c r="K656" s="414">
        <v>1</v>
      </c>
      <c r="L656" s="415">
        <f>L651</f>
        <v>8.75</v>
      </c>
      <c r="M656" s="414">
        <v>4</v>
      </c>
      <c r="N656" s="1090">
        <f>K656*L656/M656</f>
        <v>2.1875</v>
      </c>
      <c r="O656" s="1002"/>
      <c r="P656" s="412"/>
      <c r="Q656" s="412"/>
      <c r="R656" s="412"/>
      <c r="S656" s="412"/>
      <c r="T656" s="515"/>
      <c r="U656" s="507"/>
      <c r="V656" s="694"/>
    </row>
    <row r="657" spans="1:22" ht="12.75">
      <c r="A657" s="1004"/>
      <c r="B657" s="548"/>
      <c r="C657" s="1040"/>
      <c r="D657" s="1004"/>
      <c r="E657" s="521"/>
      <c r="F657" s="520"/>
      <c r="G657" s="522"/>
      <c r="H657" s="1005">
        <f>SUM(H654:H656)</f>
        <v>109.8195</v>
      </c>
      <c r="I657" s="1004"/>
      <c r="J657" s="520"/>
      <c r="K657" s="522"/>
      <c r="L657" s="520"/>
      <c r="M657" s="522"/>
      <c r="N657" s="1005">
        <f>SUM(N654:N656)</f>
        <v>5.894601612580129</v>
      </c>
      <c r="O657" s="1004"/>
      <c r="P657" s="520"/>
      <c r="Q657" s="520"/>
      <c r="R657" s="520"/>
      <c r="S657" s="520"/>
      <c r="T657" s="522">
        <f>SUM(T654:T656)</f>
        <v>0.2</v>
      </c>
      <c r="U657" s="522">
        <f>T657+N657+H657</f>
        <v>115.91410161258014</v>
      </c>
      <c r="V657" s="1005">
        <f>U657*$U$4</f>
        <v>156.29214717746865</v>
      </c>
    </row>
    <row r="658" spans="1:22" ht="12.75">
      <c r="A658" s="1002"/>
      <c r="B658" s="546"/>
      <c r="C658" s="1039"/>
      <c r="D658" s="1002"/>
      <c r="E658" s="413"/>
      <c r="F658" s="412"/>
      <c r="G658" s="414"/>
      <c r="H658" s="1057"/>
      <c r="I658" s="1002"/>
      <c r="J658" s="412"/>
      <c r="K658" s="414"/>
      <c r="L658" s="412"/>
      <c r="M658" s="412"/>
      <c r="N658" s="1091"/>
      <c r="O658" s="1002"/>
      <c r="P658" s="412"/>
      <c r="Q658" s="412"/>
      <c r="R658" s="412"/>
      <c r="S658" s="412"/>
      <c r="T658" s="514"/>
      <c r="U658" s="507"/>
      <c r="V658" s="694"/>
    </row>
    <row r="659" spans="1:22" ht="12.75">
      <c r="A659" s="1002">
        <v>27</v>
      </c>
      <c r="B659" s="546" t="s">
        <v>318</v>
      </c>
      <c r="C659" s="1039" t="s">
        <v>1561</v>
      </c>
      <c r="D659" s="1002" t="s">
        <v>319</v>
      </c>
      <c r="E659" s="413" t="s">
        <v>2556</v>
      </c>
      <c r="F659" s="412">
        <v>1.05</v>
      </c>
      <c r="G659" s="414">
        <f>'Material price'!D237</f>
        <v>104.59</v>
      </c>
      <c r="H659" s="1059">
        <f>G659*F659</f>
        <v>109.8195</v>
      </c>
      <c r="I659" s="1002" t="s">
        <v>275</v>
      </c>
      <c r="J659" s="412">
        <v>1</v>
      </c>
      <c r="K659" s="414">
        <v>0.25</v>
      </c>
      <c r="L659" s="415">
        <f>L654</f>
        <v>20.81362580128205</v>
      </c>
      <c r="M659" s="414">
        <v>4</v>
      </c>
      <c r="N659" s="1090">
        <f>K659*L659/M659</f>
        <v>1.3008516125801282</v>
      </c>
      <c r="O659" s="1002" t="s">
        <v>277</v>
      </c>
      <c r="P659" s="412">
        <v>2</v>
      </c>
      <c r="Q659" s="412">
        <v>1</v>
      </c>
      <c r="R659" s="412">
        <v>0.4</v>
      </c>
      <c r="S659" s="414">
        <v>4</v>
      </c>
      <c r="T659" s="515">
        <f>P659*Q659*R659/S659</f>
        <v>0.2</v>
      </c>
      <c r="U659" s="507"/>
      <c r="V659" s="694"/>
    </row>
    <row r="660" spans="1:22" ht="12.75">
      <c r="A660" s="1002"/>
      <c r="B660" s="546"/>
      <c r="C660" s="1039"/>
      <c r="D660" s="1002"/>
      <c r="E660" s="413"/>
      <c r="F660" s="412"/>
      <c r="G660" s="414"/>
      <c r="H660" s="1059"/>
      <c r="I660" s="1002" t="s">
        <v>808</v>
      </c>
      <c r="J660" s="412">
        <v>1</v>
      </c>
      <c r="K660" s="414">
        <v>1</v>
      </c>
      <c r="L660" s="415">
        <f>L655</f>
        <v>9.625</v>
      </c>
      <c r="M660" s="414">
        <v>4</v>
      </c>
      <c r="N660" s="1090">
        <f>K660*L660/M660</f>
        <v>2.40625</v>
      </c>
      <c r="O660" s="1002"/>
      <c r="P660" s="412"/>
      <c r="Q660" s="412"/>
      <c r="R660" s="412"/>
      <c r="S660" s="412"/>
      <c r="T660" s="515"/>
      <c r="U660" s="507"/>
      <c r="V660" s="694"/>
    </row>
    <row r="661" spans="1:22" ht="12.75">
      <c r="A661" s="1002"/>
      <c r="B661" s="546"/>
      <c r="C661" s="1039"/>
      <c r="D661" s="1002"/>
      <c r="E661" s="413"/>
      <c r="F661" s="412"/>
      <c r="G661" s="414"/>
      <c r="H661" s="1059"/>
      <c r="I661" s="1002" t="s">
        <v>810</v>
      </c>
      <c r="J661" s="412">
        <v>2</v>
      </c>
      <c r="K661" s="414">
        <v>1</v>
      </c>
      <c r="L661" s="415">
        <f>L656</f>
        <v>8.75</v>
      </c>
      <c r="M661" s="414">
        <v>4</v>
      </c>
      <c r="N661" s="1090">
        <f>K661*L661/M661</f>
        <v>2.1875</v>
      </c>
      <c r="O661" s="1002"/>
      <c r="P661" s="412"/>
      <c r="Q661" s="412"/>
      <c r="R661" s="412"/>
      <c r="S661" s="412"/>
      <c r="T661" s="515"/>
      <c r="U661" s="507"/>
      <c r="V661" s="694"/>
    </row>
    <row r="662" spans="1:22" ht="12.75">
      <c r="A662" s="1004"/>
      <c r="B662" s="548"/>
      <c r="C662" s="1040"/>
      <c r="D662" s="1004"/>
      <c r="E662" s="521"/>
      <c r="F662" s="520"/>
      <c r="G662" s="522"/>
      <c r="H662" s="1005">
        <f>SUM(H659:H661)</f>
        <v>109.8195</v>
      </c>
      <c r="I662" s="1004"/>
      <c r="J662" s="520"/>
      <c r="K662" s="522"/>
      <c r="L662" s="520"/>
      <c r="M662" s="520"/>
      <c r="N662" s="1005">
        <f>SUM(N659:N661)</f>
        <v>5.894601612580129</v>
      </c>
      <c r="O662" s="1004"/>
      <c r="P662" s="520"/>
      <c r="Q662" s="520"/>
      <c r="R662" s="520"/>
      <c r="S662" s="520"/>
      <c r="T662" s="522">
        <f>SUM(T659:T661)</f>
        <v>0.2</v>
      </c>
      <c r="U662" s="522">
        <f>T662+N662+H662</f>
        <v>115.91410161258014</v>
      </c>
      <c r="V662" s="1005">
        <f>U662*$U$4</f>
        <v>156.29214717746865</v>
      </c>
    </row>
    <row r="663" spans="1:22" ht="12.75">
      <c r="A663" s="1002"/>
      <c r="B663" s="546"/>
      <c r="C663" s="1039"/>
      <c r="D663" s="1002"/>
      <c r="E663" s="413"/>
      <c r="F663" s="412"/>
      <c r="G663" s="414"/>
      <c r="H663" s="1057"/>
      <c r="I663" s="1002"/>
      <c r="J663" s="412"/>
      <c r="K663" s="414"/>
      <c r="L663" s="412"/>
      <c r="M663" s="412"/>
      <c r="N663" s="1091"/>
      <c r="O663" s="1002"/>
      <c r="P663" s="412"/>
      <c r="Q663" s="412"/>
      <c r="R663" s="412"/>
      <c r="S663" s="412"/>
      <c r="T663" s="514"/>
      <c r="U663" s="507"/>
      <c r="V663" s="694"/>
    </row>
    <row r="664" spans="1:22" ht="12.75">
      <c r="A664" s="1002">
        <v>28</v>
      </c>
      <c r="B664" s="546" t="s">
        <v>320</v>
      </c>
      <c r="C664" s="1039" t="s">
        <v>1561</v>
      </c>
      <c r="D664" s="1002" t="s">
        <v>321</v>
      </c>
      <c r="E664" s="413" t="s">
        <v>2556</v>
      </c>
      <c r="F664" s="412">
        <v>1.05</v>
      </c>
      <c r="G664" s="414">
        <f>'Material price'!D238</f>
        <v>39.13</v>
      </c>
      <c r="H664" s="1059">
        <f>F664*G664</f>
        <v>41.0865</v>
      </c>
      <c r="I664" s="1002" t="s">
        <v>275</v>
      </c>
      <c r="J664" s="412">
        <v>1</v>
      </c>
      <c r="K664" s="414">
        <v>0.25</v>
      </c>
      <c r="L664" s="415">
        <f>L659</f>
        <v>20.81362580128205</v>
      </c>
      <c r="M664" s="412">
        <v>4</v>
      </c>
      <c r="N664" s="1090">
        <f>K664*L664/M664</f>
        <v>1.3008516125801282</v>
      </c>
      <c r="O664" s="1002" t="s">
        <v>277</v>
      </c>
      <c r="P664" s="412">
        <v>2</v>
      </c>
      <c r="Q664" s="412">
        <v>1</v>
      </c>
      <c r="R664" s="412">
        <v>0.4</v>
      </c>
      <c r="S664" s="414">
        <v>4</v>
      </c>
      <c r="T664" s="515">
        <f>P664*Q664*R664/S664</f>
        <v>0.2</v>
      </c>
      <c r="U664" s="507"/>
      <c r="V664" s="694"/>
    </row>
    <row r="665" spans="1:22" ht="12.75">
      <c r="A665" s="1002"/>
      <c r="B665" s="546"/>
      <c r="C665" s="1039"/>
      <c r="D665" s="1002" t="s">
        <v>809</v>
      </c>
      <c r="E665" s="413" t="s">
        <v>3099</v>
      </c>
      <c r="F665" s="412">
        <v>0.12</v>
      </c>
      <c r="G665" s="414">
        <v>0.2</v>
      </c>
      <c r="H665" s="1059">
        <f>F665*G665</f>
        <v>0.024</v>
      </c>
      <c r="I665" s="1002" t="s">
        <v>808</v>
      </c>
      <c r="J665" s="412">
        <v>1</v>
      </c>
      <c r="K665" s="414">
        <v>1</v>
      </c>
      <c r="L665" s="415">
        <f>L660</f>
        <v>9.625</v>
      </c>
      <c r="M665" s="412">
        <v>4</v>
      </c>
      <c r="N665" s="1090">
        <f>K665*L665/M665</f>
        <v>2.40625</v>
      </c>
      <c r="O665" s="1002"/>
      <c r="P665" s="412"/>
      <c r="Q665" s="412"/>
      <c r="R665" s="412"/>
      <c r="S665" s="414"/>
      <c r="T665" s="514"/>
      <c r="U665" s="507"/>
      <c r="V665" s="694"/>
    </row>
    <row r="666" spans="1:22" ht="12.75">
      <c r="A666" s="1002"/>
      <c r="B666" s="546"/>
      <c r="C666" s="1039"/>
      <c r="D666" s="1002"/>
      <c r="E666" s="413"/>
      <c r="F666" s="412"/>
      <c r="G666" s="414"/>
      <c r="H666" s="1057"/>
      <c r="I666" s="1002" t="s">
        <v>810</v>
      </c>
      <c r="J666" s="412">
        <v>2</v>
      </c>
      <c r="K666" s="414">
        <v>1</v>
      </c>
      <c r="L666" s="415">
        <f>L661</f>
        <v>8.75</v>
      </c>
      <c r="M666" s="412">
        <v>4</v>
      </c>
      <c r="N666" s="1090">
        <f>K666*L666/M666</f>
        <v>2.1875</v>
      </c>
      <c r="O666" s="1002"/>
      <c r="P666" s="412"/>
      <c r="Q666" s="412"/>
      <c r="R666" s="412"/>
      <c r="S666" s="414"/>
      <c r="T666" s="514"/>
      <c r="U666" s="507"/>
      <c r="V666" s="694"/>
    </row>
    <row r="667" spans="1:22" ht="12.75">
      <c r="A667" s="1004"/>
      <c r="B667" s="548"/>
      <c r="C667" s="1040"/>
      <c r="D667" s="1004"/>
      <c r="E667" s="521"/>
      <c r="F667" s="520"/>
      <c r="G667" s="522"/>
      <c r="H667" s="1005">
        <f>SUM(H664:H666)</f>
        <v>41.1105</v>
      </c>
      <c r="I667" s="1004"/>
      <c r="J667" s="520"/>
      <c r="K667" s="522"/>
      <c r="L667" s="520"/>
      <c r="M667" s="520"/>
      <c r="N667" s="1005">
        <f>SUM(N664:N666)</f>
        <v>5.894601612580129</v>
      </c>
      <c r="O667" s="1004"/>
      <c r="P667" s="520"/>
      <c r="Q667" s="520"/>
      <c r="R667" s="520"/>
      <c r="S667" s="522"/>
      <c r="T667" s="522">
        <f>SUM(T664:T666)</f>
        <v>0.2</v>
      </c>
      <c r="U667" s="522">
        <f>T667+N667+H667</f>
        <v>47.20510161258013</v>
      </c>
      <c r="V667" s="1005">
        <f>U667*$U$4</f>
        <v>63.64874149151863</v>
      </c>
    </row>
    <row r="668" spans="1:22" ht="12.75">
      <c r="A668" s="1002"/>
      <c r="B668" s="546"/>
      <c r="C668" s="1039"/>
      <c r="D668" s="1002"/>
      <c r="E668" s="413"/>
      <c r="F668" s="412"/>
      <c r="G668" s="414"/>
      <c r="H668" s="1057"/>
      <c r="I668" s="1002"/>
      <c r="J668" s="412"/>
      <c r="K668" s="414"/>
      <c r="L668" s="412"/>
      <c r="M668" s="412"/>
      <c r="N668" s="1091"/>
      <c r="O668" s="1002"/>
      <c r="P668" s="412"/>
      <c r="Q668" s="412"/>
      <c r="R668" s="412"/>
      <c r="S668" s="414"/>
      <c r="T668" s="514"/>
      <c r="U668" s="507"/>
      <c r="V668" s="694"/>
    </row>
    <row r="669" spans="1:22" ht="12.75">
      <c r="A669" s="1002">
        <v>29</v>
      </c>
      <c r="B669" s="546" t="s">
        <v>322</v>
      </c>
      <c r="C669" s="1039"/>
      <c r="D669" s="1002" t="s">
        <v>323</v>
      </c>
      <c r="E669" s="413" t="s">
        <v>2556</v>
      </c>
      <c r="F669" s="412">
        <v>1.05</v>
      </c>
      <c r="G669" s="414">
        <v>297.06</v>
      </c>
      <c r="H669" s="1059">
        <f>G669*F669</f>
        <v>311.913</v>
      </c>
      <c r="I669" s="1002" t="s">
        <v>275</v>
      </c>
      <c r="J669" s="412">
        <v>1</v>
      </c>
      <c r="K669" s="414">
        <v>0.25</v>
      </c>
      <c r="L669" s="415">
        <f>L664</f>
        <v>20.81362580128205</v>
      </c>
      <c r="M669" s="414">
        <v>0.5</v>
      </c>
      <c r="N669" s="1090">
        <f>K669*L669/M669</f>
        <v>10.406812900641025</v>
      </c>
      <c r="O669" s="1002" t="s">
        <v>277</v>
      </c>
      <c r="P669" s="412">
        <v>4</v>
      </c>
      <c r="Q669" s="412">
        <v>1</v>
      </c>
      <c r="R669" s="412">
        <v>0.4</v>
      </c>
      <c r="S669" s="414">
        <v>0.5</v>
      </c>
      <c r="T669" s="515">
        <f>P669*Q669*R669/S669</f>
        <v>3.2</v>
      </c>
      <c r="U669" s="507"/>
      <c r="V669" s="694"/>
    </row>
    <row r="670" spans="1:22" ht="12.75">
      <c r="A670" s="1002"/>
      <c r="B670" s="546" t="s">
        <v>2067</v>
      </c>
      <c r="C670" s="1039" t="s">
        <v>1561</v>
      </c>
      <c r="D670" s="1002" t="s">
        <v>324</v>
      </c>
      <c r="E670" s="413" t="s">
        <v>326</v>
      </c>
      <c r="F670" s="412">
        <v>1.05</v>
      </c>
      <c r="G670" s="414">
        <v>80</v>
      </c>
      <c r="H670" s="1059">
        <f>G670*F670</f>
        <v>84</v>
      </c>
      <c r="I670" s="1002" t="s">
        <v>808</v>
      </c>
      <c r="J670" s="412">
        <v>1</v>
      </c>
      <c r="K670" s="414">
        <v>1</v>
      </c>
      <c r="L670" s="415">
        <f>L665</f>
        <v>9.625</v>
      </c>
      <c r="M670" s="414">
        <v>0.5</v>
      </c>
      <c r="N670" s="1090">
        <f>K670*L670/M670</f>
        <v>19.25</v>
      </c>
      <c r="O670" s="1002"/>
      <c r="P670" s="412"/>
      <c r="Q670" s="412"/>
      <c r="R670" s="412"/>
      <c r="S670" s="412"/>
      <c r="T670" s="514"/>
      <c r="U670" s="507"/>
      <c r="V670" s="694"/>
    </row>
    <row r="671" spans="1:22" ht="12.75">
      <c r="A671" s="1002"/>
      <c r="B671" s="546"/>
      <c r="C671" s="1039"/>
      <c r="D671" s="1002" t="s">
        <v>325</v>
      </c>
      <c r="E671" s="413" t="s">
        <v>3099</v>
      </c>
      <c r="F671" s="412">
        <v>0.12</v>
      </c>
      <c r="G671" s="414">
        <v>0.2</v>
      </c>
      <c r="H671" s="1059">
        <f>G671*F671</f>
        <v>0.024</v>
      </c>
      <c r="I671" s="1002" t="s">
        <v>810</v>
      </c>
      <c r="J671" s="412">
        <v>4</v>
      </c>
      <c r="K671" s="414">
        <v>1</v>
      </c>
      <c r="L671" s="415">
        <f>L666</f>
        <v>8.75</v>
      </c>
      <c r="M671" s="414">
        <v>0.5</v>
      </c>
      <c r="N671" s="1090">
        <f>K671*L671/M671</f>
        <v>17.5</v>
      </c>
      <c r="O671" s="1002"/>
      <c r="P671" s="412"/>
      <c r="Q671" s="412"/>
      <c r="R671" s="412"/>
      <c r="S671" s="412"/>
      <c r="T671" s="514"/>
      <c r="U671" s="507"/>
      <c r="V671" s="694"/>
    </row>
    <row r="672" spans="1:22" ht="12.75">
      <c r="A672" s="1002"/>
      <c r="B672" s="546"/>
      <c r="C672" s="1039"/>
      <c r="D672" s="1002" t="s">
        <v>809</v>
      </c>
      <c r="E672" s="413" t="s">
        <v>484</v>
      </c>
      <c r="F672" s="412">
        <v>0.005</v>
      </c>
      <c r="G672" s="414">
        <v>398</v>
      </c>
      <c r="H672" s="1059">
        <f>G672*F672</f>
        <v>1.99</v>
      </c>
      <c r="I672" s="1002" t="s">
        <v>23</v>
      </c>
      <c r="J672" s="412">
        <v>1</v>
      </c>
      <c r="K672" s="414">
        <v>1</v>
      </c>
      <c r="L672" s="415">
        <f>'Labour Cost'!F12</f>
        <v>35</v>
      </c>
      <c r="M672" s="414">
        <v>0.5</v>
      </c>
      <c r="N672" s="1090">
        <f>K672*L672/M672</f>
        <v>70</v>
      </c>
      <c r="O672" s="1002"/>
      <c r="P672" s="412"/>
      <c r="Q672" s="412"/>
      <c r="R672" s="412"/>
      <c r="S672" s="412"/>
      <c r="T672" s="514"/>
      <c r="U672" s="507"/>
      <c r="V672" s="694"/>
    </row>
    <row r="673" spans="1:22" ht="12.75">
      <c r="A673" s="1002"/>
      <c r="B673" s="546"/>
      <c r="C673" s="1039"/>
      <c r="D673" s="1002" t="s">
        <v>2841</v>
      </c>
      <c r="E673" s="413" t="s">
        <v>2556</v>
      </c>
      <c r="F673" s="412">
        <v>1.05</v>
      </c>
      <c r="G673" s="414">
        <v>20</v>
      </c>
      <c r="H673" s="1059">
        <f>G673*F673</f>
        <v>21</v>
      </c>
      <c r="I673" s="1002"/>
      <c r="J673" s="412"/>
      <c r="K673" s="414"/>
      <c r="L673" s="412"/>
      <c r="M673" s="412"/>
      <c r="N673" s="1091"/>
      <c r="O673" s="1002"/>
      <c r="P673" s="412"/>
      <c r="Q673" s="412"/>
      <c r="R673" s="412"/>
      <c r="S673" s="412"/>
      <c r="T673" s="514"/>
      <c r="U673" s="507"/>
      <c r="V673" s="694"/>
    </row>
    <row r="674" spans="1:22" ht="12.75">
      <c r="A674" s="1002"/>
      <c r="B674" s="546"/>
      <c r="C674" s="1039"/>
      <c r="D674" s="1002" t="s">
        <v>2842</v>
      </c>
      <c r="E674" s="413"/>
      <c r="F674" s="412"/>
      <c r="G674" s="414"/>
      <c r="H674" s="1059"/>
      <c r="I674" s="1002"/>
      <c r="J674" s="412"/>
      <c r="K674" s="414"/>
      <c r="L674" s="412"/>
      <c r="M674" s="412"/>
      <c r="N674" s="1091"/>
      <c r="O674" s="1002"/>
      <c r="P674" s="412"/>
      <c r="Q674" s="412"/>
      <c r="R674" s="412"/>
      <c r="S674" s="412"/>
      <c r="T674" s="514"/>
      <c r="U674" s="507"/>
      <c r="V674" s="694"/>
    </row>
    <row r="675" spans="1:22" ht="12.75">
      <c r="A675" s="1002"/>
      <c r="B675" s="546"/>
      <c r="C675" s="1039"/>
      <c r="D675" s="1002"/>
      <c r="E675" s="413"/>
      <c r="F675" s="412"/>
      <c r="G675" s="414"/>
      <c r="H675" s="1059"/>
      <c r="I675" s="1002"/>
      <c r="J675" s="412"/>
      <c r="K675" s="414"/>
      <c r="L675" s="412"/>
      <c r="M675" s="412"/>
      <c r="N675" s="1091"/>
      <c r="O675" s="1002"/>
      <c r="P675" s="412"/>
      <c r="Q675" s="412"/>
      <c r="R675" s="412"/>
      <c r="S675" s="412"/>
      <c r="T675" s="514"/>
      <c r="U675" s="507"/>
      <c r="V675" s="694"/>
    </row>
    <row r="676" spans="1:22" ht="12.75">
      <c r="A676" s="1004"/>
      <c r="B676" s="548"/>
      <c r="C676" s="1040"/>
      <c r="D676" s="1004"/>
      <c r="E676" s="521"/>
      <c r="F676" s="520"/>
      <c r="G676" s="520"/>
      <c r="H676" s="1005">
        <f>SUM(H669:H675)</f>
        <v>418.927</v>
      </c>
      <c r="I676" s="1004"/>
      <c r="J676" s="520"/>
      <c r="K676" s="522"/>
      <c r="L676" s="520"/>
      <c r="M676" s="520"/>
      <c r="N676" s="1005">
        <f>SUM(N669:N675)</f>
        <v>117.15681290064103</v>
      </c>
      <c r="O676" s="1004"/>
      <c r="P676" s="520"/>
      <c r="Q676" s="520"/>
      <c r="R676" s="520"/>
      <c r="S676" s="520"/>
      <c r="T676" s="522">
        <f>SUM(T669:T675)</f>
        <v>3.2</v>
      </c>
      <c r="U676" s="522">
        <f>T676+N676+H676</f>
        <v>539.283812900641</v>
      </c>
      <c r="V676" s="1005">
        <f>U676*$U$4</f>
        <v>727.140390027799</v>
      </c>
    </row>
    <row r="677" spans="1:22" ht="12.75">
      <c r="A677" s="1002"/>
      <c r="B677" s="546"/>
      <c r="C677" s="1039"/>
      <c r="D677" s="1002"/>
      <c r="E677" s="413"/>
      <c r="F677" s="412"/>
      <c r="G677" s="412"/>
      <c r="H677" s="1057"/>
      <c r="I677" s="1002"/>
      <c r="J677" s="412"/>
      <c r="K677" s="414"/>
      <c r="L677" s="412"/>
      <c r="M677" s="412"/>
      <c r="N677" s="1091"/>
      <c r="O677" s="1002"/>
      <c r="P677" s="412"/>
      <c r="Q677" s="412"/>
      <c r="R677" s="412"/>
      <c r="S677" s="412"/>
      <c r="T677" s="514"/>
      <c r="U677" s="507"/>
      <c r="V677" s="694"/>
    </row>
    <row r="678" spans="1:22" ht="34.5" customHeight="1">
      <c r="A678" s="1002"/>
      <c r="B678" s="1320" t="s">
        <v>327</v>
      </c>
      <c r="C678" s="1327"/>
      <c r="D678" s="1060"/>
      <c r="E678" s="1044"/>
      <c r="F678" s="1042"/>
      <c r="G678" s="1044"/>
      <c r="H678" s="1057"/>
      <c r="I678" s="1002"/>
      <c r="J678" s="412"/>
      <c r="K678" s="414"/>
      <c r="L678" s="412"/>
      <c r="M678" s="412"/>
      <c r="N678" s="1091"/>
      <c r="O678" s="1002"/>
      <c r="P678" s="412"/>
      <c r="Q678" s="412"/>
      <c r="R678" s="412"/>
      <c r="S678" s="412"/>
      <c r="T678" s="514"/>
      <c r="U678" s="507"/>
      <c r="V678" s="694"/>
    </row>
    <row r="679" spans="1:22" ht="12.75">
      <c r="A679" s="1002"/>
      <c r="B679" s="412"/>
      <c r="C679" s="1039"/>
      <c r="D679" s="1002"/>
      <c r="E679" s="413"/>
      <c r="F679" s="412"/>
      <c r="G679" s="412"/>
      <c r="H679" s="1057"/>
      <c r="I679" s="1002"/>
      <c r="J679" s="412"/>
      <c r="K679" s="414"/>
      <c r="L679" s="412"/>
      <c r="M679" s="412"/>
      <c r="N679" s="1091"/>
      <c r="O679" s="1002"/>
      <c r="P679" s="412"/>
      <c r="Q679" s="412"/>
      <c r="R679" s="412"/>
      <c r="S679" s="412"/>
      <c r="T679" s="514"/>
      <c r="U679" s="507"/>
      <c r="V679" s="694"/>
    </row>
    <row r="680" spans="1:22" ht="25.5" customHeight="1">
      <c r="A680" s="1010">
        <v>1</v>
      </c>
      <c r="B680" s="551" t="s">
        <v>1899</v>
      </c>
      <c r="C680" s="1052" t="s">
        <v>2373</v>
      </c>
      <c r="D680" s="1076" t="s">
        <v>2689</v>
      </c>
      <c r="E680" s="413" t="s">
        <v>2373</v>
      </c>
      <c r="F680" s="412">
        <v>1</v>
      </c>
      <c r="G680" s="414">
        <v>4539</v>
      </c>
      <c r="H680" s="1057">
        <f>F680*G680</f>
        <v>4539</v>
      </c>
      <c r="I680" s="1002" t="s">
        <v>1945</v>
      </c>
      <c r="J680" s="412">
        <v>1</v>
      </c>
      <c r="K680" s="414">
        <v>1</v>
      </c>
      <c r="L680" s="415">
        <f>'Labour Cost'!F22</f>
        <v>15.457749999999999</v>
      </c>
      <c r="M680" s="414">
        <v>0.1</v>
      </c>
      <c r="N680" s="1091">
        <f>K680*L680/M680</f>
        <v>154.5775</v>
      </c>
      <c r="O680" s="1002" t="s">
        <v>277</v>
      </c>
      <c r="P680" s="412">
        <v>4</v>
      </c>
      <c r="Q680" s="412">
        <v>1</v>
      </c>
      <c r="R680" s="412">
        <v>0.4</v>
      </c>
      <c r="S680" s="414">
        <v>0.1</v>
      </c>
      <c r="T680" s="515">
        <f>P680*Q680*R680/S680</f>
        <v>16</v>
      </c>
      <c r="U680" s="507"/>
      <c r="V680" s="694"/>
    </row>
    <row r="681" spans="1:22" ht="27" customHeight="1">
      <c r="A681" s="1010"/>
      <c r="B681" s="552" t="s">
        <v>1905</v>
      </c>
      <c r="C681" s="1052"/>
      <c r="D681" s="1076" t="s">
        <v>2690</v>
      </c>
      <c r="E681" s="413" t="s">
        <v>2373</v>
      </c>
      <c r="F681" s="412">
        <v>2</v>
      </c>
      <c r="G681" s="414">
        <v>1180</v>
      </c>
      <c r="H681" s="1057">
        <f aca="true" t="shared" si="14" ref="H681:H693">F681*G681</f>
        <v>2360</v>
      </c>
      <c r="I681" s="1002" t="s">
        <v>1948</v>
      </c>
      <c r="J681" s="412">
        <v>1</v>
      </c>
      <c r="K681" s="414">
        <v>1</v>
      </c>
      <c r="L681" s="415">
        <f>'Labour Cost'!F25</f>
        <v>4.375</v>
      </c>
      <c r="M681" s="414">
        <v>0.1</v>
      </c>
      <c r="N681" s="1091">
        <f>K681*L681/M681</f>
        <v>43.75</v>
      </c>
      <c r="O681" s="1002"/>
      <c r="P681" s="412"/>
      <c r="Q681" s="412"/>
      <c r="R681" s="412"/>
      <c r="S681" s="412"/>
      <c r="T681" s="514"/>
      <c r="U681" s="507"/>
      <c r="V681" s="694"/>
    </row>
    <row r="682" spans="1:22" ht="25.5" customHeight="1">
      <c r="A682" s="1010"/>
      <c r="B682" s="552"/>
      <c r="C682" s="1052"/>
      <c r="D682" s="1076" t="s">
        <v>2295</v>
      </c>
      <c r="E682" s="413" t="s">
        <v>2373</v>
      </c>
      <c r="F682" s="412">
        <v>3</v>
      </c>
      <c r="G682" s="414">
        <v>290</v>
      </c>
      <c r="H682" s="1057">
        <f t="shared" si="14"/>
        <v>870</v>
      </c>
      <c r="I682" s="1002" t="s">
        <v>812</v>
      </c>
      <c r="J682" s="412">
        <v>1</v>
      </c>
      <c r="K682" s="414">
        <v>0.5</v>
      </c>
      <c r="L682" s="415">
        <f>'Labour Cost'!F14</f>
        <v>26.25</v>
      </c>
      <c r="M682" s="412">
        <v>0.1</v>
      </c>
      <c r="N682" s="1091">
        <f>K682*L682/M682</f>
        <v>131.25</v>
      </c>
      <c r="O682" s="1002"/>
      <c r="P682" s="412"/>
      <c r="Q682" s="412"/>
      <c r="R682" s="412"/>
      <c r="S682" s="412"/>
      <c r="T682" s="514"/>
      <c r="U682" s="507"/>
      <c r="V682" s="694"/>
    </row>
    <row r="683" spans="1:22" ht="26.25" customHeight="1">
      <c r="A683" s="1010"/>
      <c r="B683" s="552"/>
      <c r="C683" s="1052"/>
      <c r="D683" s="1076" t="s">
        <v>2296</v>
      </c>
      <c r="E683" s="413" t="s">
        <v>2373</v>
      </c>
      <c r="F683" s="412">
        <v>1</v>
      </c>
      <c r="G683" s="414">
        <v>200</v>
      </c>
      <c r="H683" s="1057">
        <f t="shared" si="14"/>
        <v>200</v>
      </c>
      <c r="I683" s="1002"/>
      <c r="J683" s="412"/>
      <c r="K683" s="414"/>
      <c r="L683" s="412"/>
      <c r="M683" s="412"/>
      <c r="N683" s="1091"/>
      <c r="O683" s="1002"/>
      <c r="P683" s="412"/>
      <c r="Q683" s="412"/>
      <c r="R683" s="412"/>
      <c r="S683" s="412"/>
      <c r="T683" s="514"/>
      <c r="U683" s="507"/>
      <c r="V683" s="694"/>
    </row>
    <row r="684" spans="1:22" ht="25.5" customHeight="1">
      <c r="A684" s="1010"/>
      <c r="B684" s="552"/>
      <c r="C684" s="1052"/>
      <c r="D684" s="1076" t="s">
        <v>2297</v>
      </c>
      <c r="E684" s="413" t="s">
        <v>2373</v>
      </c>
      <c r="F684" s="412">
        <v>8</v>
      </c>
      <c r="G684" s="414">
        <v>60</v>
      </c>
      <c r="H684" s="1057">
        <f t="shared" si="14"/>
        <v>480</v>
      </c>
      <c r="I684" s="1002"/>
      <c r="J684" s="412"/>
      <c r="K684" s="414"/>
      <c r="L684" s="412"/>
      <c r="M684" s="412"/>
      <c r="N684" s="1091"/>
      <c r="O684" s="1002"/>
      <c r="P684" s="412"/>
      <c r="Q684" s="412"/>
      <c r="R684" s="412"/>
      <c r="S684" s="412"/>
      <c r="T684" s="514"/>
      <c r="U684" s="507"/>
      <c r="V684" s="694"/>
    </row>
    <row r="685" spans="1:22" ht="25.5" customHeight="1">
      <c r="A685" s="1010"/>
      <c r="B685" s="552"/>
      <c r="C685" s="1052"/>
      <c r="D685" s="1076" t="s">
        <v>2298</v>
      </c>
      <c r="E685" s="413" t="s">
        <v>2373</v>
      </c>
      <c r="F685" s="412">
        <v>4</v>
      </c>
      <c r="G685" s="414">
        <v>60</v>
      </c>
      <c r="H685" s="1057">
        <f t="shared" si="14"/>
        <v>240</v>
      </c>
      <c r="I685" s="1002"/>
      <c r="J685" s="412"/>
      <c r="K685" s="414"/>
      <c r="L685" s="412"/>
      <c r="M685" s="412"/>
      <c r="N685" s="1091"/>
      <c r="O685" s="1002"/>
      <c r="P685" s="412"/>
      <c r="Q685" s="412"/>
      <c r="R685" s="412"/>
      <c r="S685" s="412"/>
      <c r="T685" s="514"/>
      <c r="U685" s="507"/>
      <c r="V685" s="694"/>
    </row>
    <row r="686" spans="1:22" ht="27" customHeight="1">
      <c r="A686" s="1010"/>
      <c r="B686" s="552"/>
      <c r="C686" s="1052"/>
      <c r="D686" s="1076" t="s">
        <v>1416</v>
      </c>
      <c r="E686" s="413" t="s">
        <v>2373</v>
      </c>
      <c r="F686" s="412">
        <v>6</v>
      </c>
      <c r="G686" s="414">
        <v>60</v>
      </c>
      <c r="H686" s="1057">
        <f t="shared" si="14"/>
        <v>360</v>
      </c>
      <c r="I686" s="1002"/>
      <c r="J686" s="412"/>
      <c r="K686" s="414"/>
      <c r="L686" s="412"/>
      <c r="M686" s="412"/>
      <c r="N686" s="1091"/>
      <c r="O686" s="1002"/>
      <c r="P686" s="412"/>
      <c r="Q686" s="412"/>
      <c r="R686" s="412"/>
      <c r="S686" s="412"/>
      <c r="T686" s="514"/>
      <c r="U686" s="507"/>
      <c r="V686" s="694"/>
    </row>
    <row r="687" spans="1:22" ht="36" customHeight="1">
      <c r="A687" s="1010"/>
      <c r="B687" s="553"/>
      <c r="C687" s="1052"/>
      <c r="D687" s="1077" t="s">
        <v>2300</v>
      </c>
      <c r="E687" s="413" t="s">
        <v>2373</v>
      </c>
      <c r="F687" s="412">
        <v>7</v>
      </c>
      <c r="G687" s="414">
        <v>200</v>
      </c>
      <c r="H687" s="1057">
        <f t="shared" si="14"/>
        <v>1400</v>
      </c>
      <c r="I687" s="1002"/>
      <c r="J687" s="412"/>
      <c r="K687" s="414"/>
      <c r="L687" s="412"/>
      <c r="M687" s="412"/>
      <c r="N687" s="1091"/>
      <c r="O687" s="1002"/>
      <c r="P687" s="412"/>
      <c r="Q687" s="412"/>
      <c r="R687" s="412"/>
      <c r="S687" s="412"/>
      <c r="T687" s="514"/>
      <c r="U687" s="507"/>
      <c r="V687" s="694"/>
    </row>
    <row r="688" spans="1:22" ht="12.75" customHeight="1">
      <c r="A688" s="1010"/>
      <c r="B688" s="552"/>
      <c r="C688" s="1052"/>
      <c r="D688" s="1078" t="s">
        <v>2301</v>
      </c>
      <c r="E688" s="413"/>
      <c r="F688" s="412"/>
      <c r="G688" s="414"/>
      <c r="H688" s="1057">
        <f t="shared" si="14"/>
        <v>0</v>
      </c>
      <c r="I688" s="1002"/>
      <c r="J688" s="412"/>
      <c r="K688" s="414"/>
      <c r="L688" s="412"/>
      <c r="M688" s="412"/>
      <c r="N688" s="1091"/>
      <c r="O688" s="1002"/>
      <c r="P688" s="412"/>
      <c r="Q688" s="412"/>
      <c r="R688" s="412"/>
      <c r="S688" s="412"/>
      <c r="T688" s="514"/>
      <c r="U688" s="507"/>
      <c r="V688" s="694"/>
    </row>
    <row r="689" spans="1:22" ht="34.5" customHeight="1">
      <c r="A689" s="1010"/>
      <c r="B689" s="552"/>
      <c r="C689" s="1052"/>
      <c r="D689" s="1076" t="s">
        <v>1415</v>
      </c>
      <c r="E689" s="413" t="s">
        <v>2373</v>
      </c>
      <c r="F689" s="412">
        <v>7</v>
      </c>
      <c r="G689" s="414">
        <v>200</v>
      </c>
      <c r="H689" s="1057">
        <f t="shared" si="14"/>
        <v>1400</v>
      </c>
      <c r="I689" s="1002"/>
      <c r="J689" s="412"/>
      <c r="K689" s="414"/>
      <c r="L689" s="412"/>
      <c r="M689" s="412"/>
      <c r="N689" s="1091"/>
      <c r="O689" s="1002"/>
      <c r="P689" s="412"/>
      <c r="Q689" s="412"/>
      <c r="R689" s="412"/>
      <c r="S689" s="412"/>
      <c r="T689" s="514"/>
      <c r="U689" s="507"/>
      <c r="V689" s="694"/>
    </row>
    <row r="690" spans="1:22" ht="34.5" customHeight="1">
      <c r="A690" s="1010"/>
      <c r="B690" s="552"/>
      <c r="C690" s="1052"/>
      <c r="D690" s="1076" t="s">
        <v>2534</v>
      </c>
      <c r="E690" s="413" t="s">
        <v>2373</v>
      </c>
      <c r="F690" s="412">
        <v>1</v>
      </c>
      <c r="G690" s="414">
        <v>1500</v>
      </c>
      <c r="H690" s="1057">
        <f t="shared" si="14"/>
        <v>1500</v>
      </c>
      <c r="I690" s="1002"/>
      <c r="J690" s="412"/>
      <c r="K690" s="414"/>
      <c r="L690" s="412"/>
      <c r="M690" s="412"/>
      <c r="N690" s="1091"/>
      <c r="O690" s="1002"/>
      <c r="P690" s="412"/>
      <c r="Q690" s="412"/>
      <c r="R690" s="412"/>
      <c r="S690" s="412"/>
      <c r="T690" s="514"/>
      <c r="U690" s="507"/>
      <c r="V690" s="694"/>
    </row>
    <row r="691" spans="1:22" ht="35.25" customHeight="1">
      <c r="A691" s="1010"/>
      <c r="B691" s="552"/>
      <c r="C691" s="1052" t="s">
        <v>2373</v>
      </c>
      <c r="D691" s="1076" t="s">
        <v>2535</v>
      </c>
      <c r="E691" s="413" t="s">
        <v>2373</v>
      </c>
      <c r="F691" s="412">
        <v>1</v>
      </c>
      <c r="G691" s="414">
        <v>500</v>
      </c>
      <c r="H691" s="1057">
        <f t="shared" si="14"/>
        <v>500</v>
      </c>
      <c r="I691" s="1002"/>
      <c r="J691" s="412"/>
      <c r="K691" s="414"/>
      <c r="L691" s="412"/>
      <c r="M691" s="412"/>
      <c r="N691" s="1091"/>
      <c r="O691" s="1002"/>
      <c r="P691" s="412"/>
      <c r="Q691" s="412"/>
      <c r="R691" s="412"/>
      <c r="S691" s="412"/>
      <c r="T691" s="514"/>
      <c r="U691" s="507"/>
      <c r="V691" s="694"/>
    </row>
    <row r="692" spans="1:22" ht="12.75" customHeight="1">
      <c r="A692" s="1010"/>
      <c r="B692" s="1029"/>
      <c r="C692" s="1052"/>
      <c r="D692" s="1079" t="s">
        <v>1898</v>
      </c>
      <c r="E692" s="413" t="s">
        <v>2373</v>
      </c>
      <c r="F692" s="412">
        <v>1</v>
      </c>
      <c r="G692" s="414">
        <v>4539</v>
      </c>
      <c r="H692" s="1057">
        <f t="shared" si="14"/>
        <v>4539</v>
      </c>
      <c r="I692" s="1002"/>
      <c r="J692" s="412"/>
      <c r="K692" s="414"/>
      <c r="L692" s="412"/>
      <c r="M692" s="412"/>
      <c r="N692" s="1091"/>
      <c r="O692" s="1002"/>
      <c r="P692" s="412"/>
      <c r="Q692" s="412"/>
      <c r="R692" s="412"/>
      <c r="S692" s="412"/>
      <c r="T692" s="514"/>
      <c r="U692" s="507"/>
      <c r="V692" s="694"/>
    </row>
    <row r="693" spans="1:22" ht="12.75">
      <c r="A693" s="1010"/>
      <c r="B693" s="1029"/>
      <c r="C693" s="1052"/>
      <c r="D693" s="1080" t="s">
        <v>1901</v>
      </c>
      <c r="E693" s="413" t="s">
        <v>2373</v>
      </c>
      <c r="F693" s="412">
        <v>1</v>
      </c>
      <c r="G693" s="414">
        <v>2500</v>
      </c>
      <c r="H693" s="1057">
        <f t="shared" si="14"/>
        <v>2500</v>
      </c>
      <c r="I693" s="1002"/>
      <c r="J693" s="412"/>
      <c r="K693" s="414"/>
      <c r="L693" s="412"/>
      <c r="M693" s="412"/>
      <c r="N693" s="1091"/>
      <c r="O693" s="1002"/>
      <c r="P693" s="412"/>
      <c r="Q693" s="412"/>
      <c r="R693" s="412"/>
      <c r="S693" s="412"/>
      <c r="T693" s="514"/>
      <c r="U693" s="507"/>
      <c r="V693" s="694"/>
    </row>
    <row r="694" spans="1:22" ht="12.75">
      <c r="A694" s="1014"/>
      <c r="B694" s="1033"/>
      <c r="C694" s="1053"/>
      <c r="D694" s="1081"/>
      <c r="E694" s="544"/>
      <c r="F694" s="545"/>
      <c r="G694" s="545"/>
      <c r="H694" s="1015">
        <f>SUM(H680:H693)</f>
        <v>20888</v>
      </c>
      <c r="I694" s="1017"/>
      <c r="J694" s="545"/>
      <c r="K694" s="545"/>
      <c r="L694" s="545"/>
      <c r="M694" s="545"/>
      <c r="N694" s="1015">
        <f>SUM(N680:N693)</f>
        <v>329.5775</v>
      </c>
      <c r="O694" s="1017"/>
      <c r="P694" s="545"/>
      <c r="Q694" s="545"/>
      <c r="R694" s="545"/>
      <c r="S694" s="545"/>
      <c r="T694" s="545">
        <f>SUM(T680:T693)</f>
        <v>16</v>
      </c>
      <c r="U694" s="545">
        <f>H694+N694+T694</f>
        <v>21233.5775</v>
      </c>
      <c r="V694" s="1015">
        <f>U694*$U$4</f>
        <v>28630.178499127625</v>
      </c>
    </row>
    <row r="695" spans="1:22" ht="12.75">
      <c r="A695" s="1010"/>
      <c r="B695" s="1029"/>
      <c r="C695" s="1052"/>
      <c r="D695" s="1080"/>
      <c r="E695" s="413"/>
      <c r="F695" s="412"/>
      <c r="G695" s="414"/>
      <c r="H695" s="1057"/>
      <c r="I695" s="1002"/>
      <c r="J695" s="412"/>
      <c r="K695" s="414"/>
      <c r="L695" s="412"/>
      <c r="M695" s="412"/>
      <c r="N695" s="1091"/>
      <c r="O695" s="1002"/>
      <c r="P695" s="412"/>
      <c r="Q695" s="412"/>
      <c r="R695" s="412"/>
      <c r="S695" s="412"/>
      <c r="T695" s="514"/>
      <c r="U695" s="507"/>
      <c r="V695" s="1015"/>
    </row>
    <row r="696" spans="1:22" ht="25.5" customHeight="1">
      <c r="A696" s="1010">
        <v>2</v>
      </c>
      <c r="B696" s="1027" t="s">
        <v>1900</v>
      </c>
      <c r="C696" s="1052"/>
      <c r="D696" s="1077" t="s">
        <v>2541</v>
      </c>
      <c r="E696" s="413" t="s">
        <v>2373</v>
      </c>
      <c r="F696" s="412">
        <v>1</v>
      </c>
      <c r="G696" s="414">
        <v>200</v>
      </c>
      <c r="H696" s="1057">
        <f aca="true" t="shared" si="15" ref="H696:H701">F696*G696</f>
        <v>200</v>
      </c>
      <c r="I696" s="1002" t="s">
        <v>1945</v>
      </c>
      <c r="J696" s="412">
        <v>1</v>
      </c>
      <c r="K696" s="414">
        <v>1</v>
      </c>
      <c r="L696" s="415">
        <f>L680</f>
        <v>15.457749999999999</v>
      </c>
      <c r="M696" s="412">
        <v>0.25</v>
      </c>
      <c r="N696" s="1091">
        <f>K696*L696/M696</f>
        <v>61.830999999999996</v>
      </c>
      <c r="O696" s="1002" t="s">
        <v>277</v>
      </c>
      <c r="P696" s="412">
        <v>4</v>
      </c>
      <c r="Q696" s="412">
        <v>1</v>
      </c>
      <c r="R696" s="412">
        <v>0.4</v>
      </c>
      <c r="S696" s="412">
        <v>0.5</v>
      </c>
      <c r="T696" s="514">
        <f>P696*Q696*R696/S696</f>
        <v>3.2</v>
      </c>
      <c r="U696" s="507"/>
      <c r="V696" s="1015"/>
    </row>
    <row r="697" spans="1:22" ht="27" customHeight="1">
      <c r="A697" s="1010"/>
      <c r="B697" s="1029" t="s">
        <v>1904</v>
      </c>
      <c r="C697" s="1052"/>
      <c r="D697" s="1076" t="s">
        <v>2542</v>
      </c>
      <c r="E697" s="413" t="s">
        <v>2373</v>
      </c>
      <c r="F697" s="412">
        <v>9</v>
      </c>
      <c r="G697" s="414">
        <v>60</v>
      </c>
      <c r="H697" s="1057">
        <f t="shared" si="15"/>
        <v>540</v>
      </c>
      <c r="I697" s="1002" t="s">
        <v>1948</v>
      </c>
      <c r="J697" s="412">
        <v>1</v>
      </c>
      <c r="K697" s="414">
        <v>1</v>
      </c>
      <c r="L697" s="415">
        <f>L681</f>
        <v>4.375</v>
      </c>
      <c r="M697" s="412">
        <v>0.25</v>
      </c>
      <c r="N697" s="1091">
        <f>K697*L697/M697</f>
        <v>17.5</v>
      </c>
      <c r="O697" s="1002"/>
      <c r="P697" s="412"/>
      <c r="Q697" s="412"/>
      <c r="R697" s="412"/>
      <c r="S697" s="412"/>
      <c r="T697" s="514"/>
      <c r="U697" s="507"/>
      <c r="V697" s="1015"/>
    </row>
    <row r="698" spans="1:22" ht="26.25" customHeight="1">
      <c r="A698" s="1010"/>
      <c r="B698" s="1029"/>
      <c r="C698" s="1052"/>
      <c r="D698" s="1076" t="s">
        <v>2543</v>
      </c>
      <c r="E698" s="413" t="s">
        <v>2373</v>
      </c>
      <c r="F698" s="412">
        <v>1</v>
      </c>
      <c r="G698" s="414">
        <v>60</v>
      </c>
      <c r="H698" s="1057">
        <f t="shared" si="15"/>
        <v>60</v>
      </c>
      <c r="I698" s="1002" t="s">
        <v>812</v>
      </c>
      <c r="J698" s="412">
        <v>1</v>
      </c>
      <c r="K698" s="414">
        <v>0.5</v>
      </c>
      <c r="L698" s="415">
        <f>L682</f>
        <v>26.25</v>
      </c>
      <c r="M698" s="412">
        <v>0.25</v>
      </c>
      <c r="N698" s="1091">
        <f>K698*L698/M698</f>
        <v>52.5</v>
      </c>
      <c r="O698" s="1002"/>
      <c r="P698" s="412"/>
      <c r="Q698" s="412"/>
      <c r="R698" s="412"/>
      <c r="S698" s="412"/>
      <c r="T698" s="514"/>
      <c r="U698" s="507"/>
      <c r="V698" s="1015"/>
    </row>
    <row r="699" spans="1:22" ht="35.25" customHeight="1">
      <c r="A699" s="1010"/>
      <c r="B699" s="1029"/>
      <c r="C699" s="1052"/>
      <c r="D699" s="1076" t="s">
        <v>2544</v>
      </c>
      <c r="E699" s="413" t="s">
        <v>2373</v>
      </c>
      <c r="F699" s="412">
        <v>1</v>
      </c>
      <c r="G699" s="414">
        <v>290</v>
      </c>
      <c r="H699" s="1057">
        <f t="shared" si="15"/>
        <v>290</v>
      </c>
      <c r="I699" s="1002"/>
      <c r="J699" s="412"/>
      <c r="K699" s="414"/>
      <c r="L699" s="412"/>
      <c r="M699" s="412"/>
      <c r="N699" s="1091"/>
      <c r="O699" s="1002"/>
      <c r="P699" s="412"/>
      <c r="Q699" s="412"/>
      <c r="R699" s="412"/>
      <c r="S699" s="412"/>
      <c r="T699" s="514"/>
      <c r="U699" s="507"/>
      <c r="V699" s="1015"/>
    </row>
    <row r="700" spans="1:22" ht="14.25" customHeight="1">
      <c r="A700" s="1010"/>
      <c r="B700" s="1029"/>
      <c r="C700" s="1052"/>
      <c r="D700" s="1078" t="s">
        <v>2537</v>
      </c>
      <c r="E700" s="413"/>
      <c r="F700" s="412"/>
      <c r="G700" s="414"/>
      <c r="H700" s="1057">
        <f t="shared" si="15"/>
        <v>0</v>
      </c>
      <c r="I700" s="1002"/>
      <c r="J700" s="412"/>
      <c r="K700" s="414"/>
      <c r="L700" s="412"/>
      <c r="M700" s="412"/>
      <c r="N700" s="1091"/>
      <c r="O700" s="1002"/>
      <c r="P700" s="412"/>
      <c r="Q700" s="412"/>
      <c r="R700" s="412"/>
      <c r="S700" s="412"/>
      <c r="T700" s="514"/>
      <c r="U700" s="507"/>
      <c r="V700" s="1015"/>
    </row>
    <row r="701" spans="1:22" ht="13.5" customHeight="1">
      <c r="A701" s="1010"/>
      <c r="B701" s="1029"/>
      <c r="C701" s="1052"/>
      <c r="D701" s="1078" t="s">
        <v>1902</v>
      </c>
      <c r="E701" s="413" t="s">
        <v>2373</v>
      </c>
      <c r="F701" s="412">
        <v>1</v>
      </c>
      <c r="G701" s="414">
        <v>500</v>
      </c>
      <c r="H701" s="1057">
        <f t="shared" si="15"/>
        <v>500</v>
      </c>
      <c r="I701" s="1002"/>
      <c r="J701" s="412"/>
      <c r="K701" s="414"/>
      <c r="L701" s="412"/>
      <c r="M701" s="412"/>
      <c r="N701" s="1091"/>
      <c r="O701" s="1002"/>
      <c r="P701" s="412"/>
      <c r="Q701" s="412"/>
      <c r="R701" s="412"/>
      <c r="S701" s="412"/>
      <c r="T701" s="514"/>
      <c r="U701" s="507"/>
      <c r="V701" s="1015"/>
    </row>
    <row r="702" spans="1:22" ht="13.5" customHeight="1">
      <c r="A702" s="1016"/>
      <c r="B702" s="1034"/>
      <c r="C702" s="1054"/>
      <c r="D702" s="1082"/>
      <c r="E702" s="521"/>
      <c r="F702" s="520"/>
      <c r="G702" s="522"/>
      <c r="H702" s="1058">
        <f>SUM(H696:H701)</f>
        <v>1590</v>
      </c>
      <c r="I702" s="1004"/>
      <c r="J702" s="520"/>
      <c r="K702" s="522"/>
      <c r="L702" s="520"/>
      <c r="M702" s="520"/>
      <c r="N702" s="1058">
        <f>SUM(N696:N701)</f>
        <v>131.831</v>
      </c>
      <c r="O702" s="1004"/>
      <c r="P702" s="520"/>
      <c r="Q702" s="520"/>
      <c r="R702" s="520"/>
      <c r="S702" s="520"/>
      <c r="T702" s="520">
        <f>SUM(T696:T701)</f>
        <v>3.2</v>
      </c>
      <c r="U702" s="520">
        <f>H702+N702+T702</f>
        <v>1725.031</v>
      </c>
      <c r="V702" s="1015">
        <f>U702*$U$4</f>
        <v>2325.93614743105</v>
      </c>
    </row>
    <row r="703" spans="1:22" ht="10.5" customHeight="1">
      <c r="A703" s="1010"/>
      <c r="B703" s="1029"/>
      <c r="C703" s="1052"/>
      <c r="D703" s="1078"/>
      <c r="E703" s="413"/>
      <c r="F703" s="412"/>
      <c r="G703" s="414"/>
      <c r="H703" s="1057"/>
      <c r="I703" s="1008"/>
      <c r="J703" s="420"/>
      <c r="K703" s="416"/>
      <c r="L703" s="420"/>
      <c r="M703" s="420"/>
      <c r="N703" s="1091"/>
      <c r="O703" s="1008"/>
      <c r="P703" s="420"/>
      <c r="Q703" s="420"/>
      <c r="R703" s="420"/>
      <c r="S703" s="420"/>
      <c r="T703" s="514"/>
      <c r="U703" s="507"/>
      <c r="V703" s="694"/>
    </row>
    <row r="704" spans="1:22" ht="27" customHeight="1">
      <c r="A704" s="1010">
        <v>3</v>
      </c>
      <c r="B704" s="1029" t="s">
        <v>1900</v>
      </c>
      <c r="C704" s="1052"/>
      <c r="D704" s="1076" t="s">
        <v>2546</v>
      </c>
      <c r="E704" s="413" t="s">
        <v>2373</v>
      </c>
      <c r="F704" s="412">
        <v>1</v>
      </c>
      <c r="G704" s="414">
        <v>1180</v>
      </c>
      <c r="H704" s="1057">
        <f>F704*G704</f>
        <v>1180</v>
      </c>
      <c r="I704" s="1002" t="s">
        <v>1945</v>
      </c>
      <c r="J704" s="412">
        <v>1</v>
      </c>
      <c r="K704" s="414">
        <v>1</v>
      </c>
      <c r="L704" s="415">
        <f>L696</f>
        <v>15.457749999999999</v>
      </c>
      <c r="M704" s="412">
        <v>0.25</v>
      </c>
      <c r="N704" s="1090">
        <f>K704*L704/M704</f>
        <v>61.830999999999996</v>
      </c>
      <c r="O704" s="1002" t="s">
        <v>277</v>
      </c>
      <c r="P704" s="412">
        <v>4</v>
      </c>
      <c r="Q704" s="412">
        <v>1</v>
      </c>
      <c r="R704" s="412">
        <v>0.4</v>
      </c>
      <c r="S704" s="412">
        <v>0.5</v>
      </c>
      <c r="T704" s="515">
        <f>P704*Q704*R704/S704</f>
        <v>3.2</v>
      </c>
      <c r="U704" s="507"/>
      <c r="V704" s="694"/>
    </row>
    <row r="705" spans="1:22" ht="26.25" customHeight="1">
      <c r="A705" s="1010"/>
      <c r="B705" s="1029" t="s">
        <v>1903</v>
      </c>
      <c r="C705" s="1052"/>
      <c r="D705" s="1076" t="s">
        <v>2547</v>
      </c>
      <c r="E705" s="413" t="s">
        <v>2373</v>
      </c>
      <c r="F705" s="412">
        <v>10</v>
      </c>
      <c r="G705" s="414">
        <v>60</v>
      </c>
      <c r="H705" s="1057">
        <f aca="true" t="shared" si="16" ref="H705:H710">F705*G705</f>
        <v>600</v>
      </c>
      <c r="I705" s="1002" t="s">
        <v>1948</v>
      </c>
      <c r="J705" s="412">
        <v>1</v>
      </c>
      <c r="K705" s="414">
        <v>1</v>
      </c>
      <c r="L705" s="415">
        <f>L697</f>
        <v>4.375</v>
      </c>
      <c r="M705" s="412">
        <v>0.25</v>
      </c>
      <c r="N705" s="1090">
        <f>K705*L705/M705</f>
        <v>17.5</v>
      </c>
      <c r="O705" s="1002"/>
      <c r="P705" s="412"/>
      <c r="Q705" s="412"/>
      <c r="R705" s="412"/>
      <c r="S705" s="412"/>
      <c r="T705" s="514"/>
      <c r="U705" s="507"/>
      <c r="V705" s="694"/>
    </row>
    <row r="706" spans="1:22" ht="25.5" customHeight="1">
      <c r="A706" s="1010"/>
      <c r="B706" s="1029"/>
      <c r="C706" s="1052"/>
      <c r="D706" s="1077" t="s">
        <v>1563</v>
      </c>
      <c r="E706" s="413" t="s">
        <v>2373</v>
      </c>
      <c r="F706" s="412">
        <v>7</v>
      </c>
      <c r="G706" s="414">
        <v>60</v>
      </c>
      <c r="H706" s="1057">
        <f t="shared" si="16"/>
        <v>420</v>
      </c>
      <c r="I706" s="1002" t="s">
        <v>812</v>
      </c>
      <c r="J706" s="412">
        <v>1</v>
      </c>
      <c r="K706" s="414">
        <v>0.5</v>
      </c>
      <c r="L706" s="415">
        <f>L698</f>
        <v>26.25</v>
      </c>
      <c r="M706" s="412">
        <v>0.25</v>
      </c>
      <c r="N706" s="1090">
        <f>K706*L706/M706</f>
        <v>52.5</v>
      </c>
      <c r="O706" s="1002"/>
      <c r="P706" s="412"/>
      <c r="Q706" s="412"/>
      <c r="R706" s="412"/>
      <c r="S706" s="412"/>
      <c r="T706" s="514"/>
      <c r="U706" s="507"/>
      <c r="V706" s="694"/>
    </row>
    <row r="707" spans="1:22" ht="26.25" customHeight="1">
      <c r="A707" s="1010"/>
      <c r="B707" s="1029"/>
      <c r="C707" s="1052"/>
      <c r="D707" s="1076" t="s">
        <v>2548</v>
      </c>
      <c r="E707" s="413" t="s">
        <v>2373</v>
      </c>
      <c r="F707" s="412">
        <v>1</v>
      </c>
      <c r="G707" s="414">
        <v>60</v>
      </c>
      <c r="H707" s="1057">
        <f t="shared" si="16"/>
        <v>60</v>
      </c>
      <c r="I707" s="1002"/>
      <c r="J707" s="412"/>
      <c r="K707" s="414"/>
      <c r="L707" s="412"/>
      <c r="M707" s="412"/>
      <c r="N707" s="1091"/>
      <c r="O707" s="1002"/>
      <c r="P707" s="412"/>
      <c r="Q707" s="412"/>
      <c r="R707" s="412"/>
      <c r="S707" s="412"/>
      <c r="T707" s="514"/>
      <c r="U707" s="507"/>
      <c r="V707" s="694"/>
    </row>
    <row r="708" spans="1:22" ht="34.5" customHeight="1">
      <c r="A708" s="1010"/>
      <c r="B708" s="1029"/>
      <c r="C708" s="1052"/>
      <c r="D708" s="1076" t="s">
        <v>2619</v>
      </c>
      <c r="E708" s="413" t="s">
        <v>2373</v>
      </c>
      <c r="F708" s="412">
        <v>1</v>
      </c>
      <c r="G708" s="414">
        <v>2551</v>
      </c>
      <c r="H708" s="1057">
        <f t="shared" si="16"/>
        <v>2551</v>
      </c>
      <c r="I708" s="1002"/>
      <c r="J708" s="412"/>
      <c r="K708" s="414"/>
      <c r="L708" s="412"/>
      <c r="M708" s="412"/>
      <c r="N708" s="1091"/>
      <c r="O708" s="1002"/>
      <c r="P708" s="412"/>
      <c r="Q708" s="412"/>
      <c r="R708" s="412"/>
      <c r="S708" s="412"/>
      <c r="T708" s="514"/>
      <c r="U708" s="507"/>
      <c r="V708" s="694"/>
    </row>
    <row r="709" spans="1:22" ht="12" customHeight="1">
      <c r="A709" s="1010"/>
      <c r="B709" s="1029"/>
      <c r="C709" s="1052"/>
      <c r="D709" s="1078" t="s">
        <v>2537</v>
      </c>
      <c r="E709" s="413"/>
      <c r="F709" s="412"/>
      <c r="G709" s="414"/>
      <c r="H709" s="1057"/>
      <c r="I709" s="1002"/>
      <c r="J709" s="412"/>
      <c r="K709" s="414"/>
      <c r="L709" s="412"/>
      <c r="M709" s="412"/>
      <c r="N709" s="1091"/>
      <c r="O709" s="1002"/>
      <c r="P709" s="412"/>
      <c r="Q709" s="412"/>
      <c r="R709" s="412"/>
      <c r="S709" s="412"/>
      <c r="T709" s="514"/>
      <c r="U709" s="507"/>
      <c r="V709" s="694"/>
    </row>
    <row r="710" spans="1:22" ht="12" customHeight="1">
      <c r="A710" s="1010"/>
      <c r="B710" s="1029"/>
      <c r="C710" s="1052"/>
      <c r="D710" s="1078" t="s">
        <v>1902</v>
      </c>
      <c r="E710" s="413" t="s">
        <v>2373</v>
      </c>
      <c r="F710" s="412">
        <v>1</v>
      </c>
      <c r="G710" s="414">
        <v>750</v>
      </c>
      <c r="H710" s="1057">
        <f t="shared" si="16"/>
        <v>750</v>
      </c>
      <c r="I710" s="1002"/>
      <c r="J710" s="412"/>
      <c r="K710" s="414"/>
      <c r="L710" s="412"/>
      <c r="M710" s="412"/>
      <c r="N710" s="1091"/>
      <c r="O710" s="1002"/>
      <c r="P710" s="412"/>
      <c r="Q710" s="412"/>
      <c r="R710" s="412"/>
      <c r="S710" s="412"/>
      <c r="T710" s="514"/>
      <c r="U710" s="507"/>
      <c r="V710" s="694"/>
    </row>
    <row r="711" spans="1:22" ht="14.25" customHeight="1">
      <c r="A711" s="1014"/>
      <c r="B711" s="1033"/>
      <c r="C711" s="1053"/>
      <c r="D711" s="1083"/>
      <c r="E711" s="544"/>
      <c r="F711" s="545"/>
      <c r="G711" s="545"/>
      <c r="H711" s="1015">
        <f>SUM(H704:H710)</f>
        <v>5561</v>
      </c>
      <c r="I711" s="1017"/>
      <c r="J711" s="545"/>
      <c r="K711" s="545"/>
      <c r="L711" s="545"/>
      <c r="M711" s="545"/>
      <c r="N711" s="1015">
        <f>SUM(N704:N710)</f>
        <v>131.831</v>
      </c>
      <c r="O711" s="1017"/>
      <c r="P711" s="545"/>
      <c r="Q711" s="545"/>
      <c r="R711" s="545"/>
      <c r="S711" s="545"/>
      <c r="T711" s="545">
        <f>SUM(T704:T710)</f>
        <v>3.2</v>
      </c>
      <c r="U711" s="545">
        <f>H711+N711+T711</f>
        <v>5696.031</v>
      </c>
      <c r="V711" s="1015">
        <f>U711*$U$4</f>
        <v>7680.21235548105</v>
      </c>
    </row>
    <row r="712" spans="1:22" ht="19.5" customHeight="1">
      <c r="A712" s="1010"/>
      <c r="B712" s="1029"/>
      <c r="C712" s="1052"/>
      <c r="D712" s="1078"/>
      <c r="E712" s="413"/>
      <c r="F712" s="412"/>
      <c r="G712" s="414"/>
      <c r="H712" s="1057"/>
      <c r="I712" s="1008"/>
      <c r="J712" s="420"/>
      <c r="K712" s="420"/>
      <c r="L712" s="420"/>
      <c r="M712" s="420"/>
      <c r="N712" s="1091"/>
      <c r="O712" s="1008"/>
      <c r="P712" s="420"/>
      <c r="Q712" s="420"/>
      <c r="R712" s="420"/>
      <c r="S712" s="420"/>
      <c r="T712" s="514"/>
      <c r="U712" s="507"/>
      <c r="V712" s="694"/>
    </row>
    <row r="713" spans="1:22" ht="25.5" customHeight="1">
      <c r="A713" s="1010">
        <v>4</v>
      </c>
      <c r="B713" s="550" t="s">
        <v>1906</v>
      </c>
      <c r="C713" s="1052"/>
      <c r="D713" s="1076" t="s">
        <v>2622</v>
      </c>
      <c r="E713" s="413" t="s">
        <v>2373</v>
      </c>
      <c r="F713" s="412">
        <v>1</v>
      </c>
      <c r="G713" s="414">
        <v>290</v>
      </c>
      <c r="H713" s="1059">
        <f>F713*G713</f>
        <v>290</v>
      </c>
      <c r="I713" s="1002" t="s">
        <v>1945</v>
      </c>
      <c r="J713" s="412">
        <v>1</v>
      </c>
      <c r="K713" s="414">
        <v>1</v>
      </c>
      <c r="L713" s="415">
        <f>L704</f>
        <v>15.457749999999999</v>
      </c>
      <c r="M713" s="412">
        <v>0.25</v>
      </c>
      <c r="N713" s="1090">
        <f>K713*L713/M713</f>
        <v>61.830999999999996</v>
      </c>
      <c r="O713" s="1002" t="s">
        <v>277</v>
      </c>
      <c r="P713" s="412">
        <v>4</v>
      </c>
      <c r="Q713" s="412">
        <v>1</v>
      </c>
      <c r="R713" s="412">
        <v>0.4</v>
      </c>
      <c r="S713" s="412">
        <v>0.25</v>
      </c>
      <c r="T713" s="515">
        <f>P713*Q713*R713/S713</f>
        <v>6.4</v>
      </c>
      <c r="U713" s="507"/>
      <c r="V713" s="694"/>
    </row>
    <row r="714" spans="1:22" ht="18.75" customHeight="1">
      <c r="A714" s="1010"/>
      <c r="B714" s="1029"/>
      <c r="C714" s="1052"/>
      <c r="D714" s="1076" t="s">
        <v>2623</v>
      </c>
      <c r="E714" s="413" t="s">
        <v>2373</v>
      </c>
      <c r="F714" s="412">
        <v>12</v>
      </c>
      <c r="G714" s="414">
        <v>60</v>
      </c>
      <c r="H714" s="1059">
        <f>F714*G714</f>
        <v>720</v>
      </c>
      <c r="I714" s="1002" t="s">
        <v>1948</v>
      </c>
      <c r="J714" s="412">
        <v>1</v>
      </c>
      <c r="K714" s="414">
        <v>1</v>
      </c>
      <c r="L714" s="415">
        <f>L705</f>
        <v>4.375</v>
      </c>
      <c r="M714" s="412">
        <v>0.25</v>
      </c>
      <c r="N714" s="1090">
        <f>K714*L714/M714</f>
        <v>17.5</v>
      </c>
      <c r="O714" s="1002"/>
      <c r="P714" s="412"/>
      <c r="Q714" s="412"/>
      <c r="R714" s="412"/>
      <c r="S714" s="412"/>
      <c r="T714" s="514"/>
      <c r="U714" s="507"/>
      <c r="V714" s="694"/>
    </row>
    <row r="715" spans="1:22" ht="26.25" customHeight="1">
      <c r="A715" s="1010"/>
      <c r="B715" s="1029"/>
      <c r="C715" s="1052"/>
      <c r="D715" s="1076" t="s">
        <v>1562</v>
      </c>
      <c r="E715" s="413" t="s">
        <v>2373</v>
      </c>
      <c r="F715" s="412">
        <v>5</v>
      </c>
      <c r="G715" s="414">
        <v>60</v>
      </c>
      <c r="H715" s="1059">
        <f>F715*G715</f>
        <v>300</v>
      </c>
      <c r="I715" s="1002" t="s">
        <v>812</v>
      </c>
      <c r="J715" s="412">
        <v>1</v>
      </c>
      <c r="K715" s="414">
        <v>0.5</v>
      </c>
      <c r="L715" s="415">
        <f>L706</f>
        <v>26.25</v>
      </c>
      <c r="M715" s="412">
        <v>0.25</v>
      </c>
      <c r="N715" s="1090">
        <f>K715*L715/M715</f>
        <v>52.5</v>
      </c>
      <c r="O715" s="1002"/>
      <c r="P715" s="412"/>
      <c r="Q715" s="412"/>
      <c r="R715" s="412"/>
      <c r="S715" s="412"/>
      <c r="T715" s="514"/>
      <c r="U715" s="507"/>
      <c r="V715" s="694"/>
    </row>
    <row r="716" spans="1:22" ht="35.25" customHeight="1">
      <c r="A716" s="1010"/>
      <c r="B716" s="1029"/>
      <c r="C716" s="1052"/>
      <c r="D716" s="1077" t="s">
        <v>2544</v>
      </c>
      <c r="E716" s="413" t="s">
        <v>2373</v>
      </c>
      <c r="F716" s="412">
        <v>1</v>
      </c>
      <c r="G716" s="414">
        <v>290</v>
      </c>
      <c r="H716" s="1059">
        <f>F716*G716</f>
        <v>290</v>
      </c>
      <c r="I716" s="1008"/>
      <c r="J716" s="420"/>
      <c r="K716" s="420"/>
      <c r="L716" s="420"/>
      <c r="M716" s="420"/>
      <c r="N716" s="1091"/>
      <c r="O716" s="1008"/>
      <c r="P716" s="420"/>
      <c r="Q716" s="420"/>
      <c r="R716" s="420"/>
      <c r="S716" s="420"/>
      <c r="T716" s="514"/>
      <c r="U716" s="507"/>
      <c r="V716" s="694"/>
    </row>
    <row r="717" spans="1:22" ht="12" customHeight="1">
      <c r="A717" s="1010"/>
      <c r="B717" s="1029"/>
      <c r="C717" s="1052"/>
      <c r="D717" s="1078" t="s">
        <v>2537</v>
      </c>
      <c r="E717" s="413"/>
      <c r="F717" s="412"/>
      <c r="G717" s="414"/>
      <c r="H717" s="1059"/>
      <c r="I717" s="1008"/>
      <c r="J717" s="420"/>
      <c r="K717" s="420"/>
      <c r="L717" s="420"/>
      <c r="M717" s="420"/>
      <c r="N717" s="1091"/>
      <c r="O717" s="1008"/>
      <c r="P717" s="420"/>
      <c r="Q717" s="420"/>
      <c r="R717" s="420"/>
      <c r="S717" s="420"/>
      <c r="T717" s="514"/>
      <c r="U717" s="507"/>
      <c r="V717" s="694"/>
    </row>
    <row r="718" spans="1:22" ht="12" customHeight="1">
      <c r="A718" s="1010"/>
      <c r="B718" s="1029"/>
      <c r="C718" s="1052"/>
      <c r="D718" s="1078" t="s">
        <v>1902</v>
      </c>
      <c r="E718" s="413" t="s">
        <v>2373</v>
      </c>
      <c r="F718" s="412">
        <v>1</v>
      </c>
      <c r="G718" s="414">
        <v>400</v>
      </c>
      <c r="H718" s="1059">
        <f>F718*G718</f>
        <v>400</v>
      </c>
      <c r="I718" s="1008"/>
      <c r="J718" s="420"/>
      <c r="K718" s="420"/>
      <c r="L718" s="420"/>
      <c r="M718" s="420"/>
      <c r="N718" s="1091"/>
      <c r="O718" s="1008"/>
      <c r="P718" s="420"/>
      <c r="Q718" s="420"/>
      <c r="R718" s="420"/>
      <c r="S718" s="420"/>
      <c r="T718" s="514"/>
      <c r="U718" s="507"/>
      <c r="V718" s="694"/>
    </row>
    <row r="719" spans="1:22" ht="13.5" customHeight="1">
      <c r="A719" s="1014"/>
      <c r="B719" s="1033"/>
      <c r="C719" s="1053"/>
      <c r="D719" s="1083"/>
      <c r="E719" s="544"/>
      <c r="F719" s="545"/>
      <c r="G719" s="545"/>
      <c r="H719" s="1015">
        <f>SUM(H713:H718)</f>
        <v>2000</v>
      </c>
      <c r="I719" s="1017"/>
      <c r="J719" s="545"/>
      <c r="K719" s="545"/>
      <c r="L719" s="545"/>
      <c r="M719" s="545"/>
      <c r="N719" s="1015">
        <f>SUM(N713:N718)</f>
        <v>131.831</v>
      </c>
      <c r="O719" s="1017"/>
      <c r="P719" s="545"/>
      <c r="Q719" s="545"/>
      <c r="R719" s="545"/>
      <c r="S719" s="545"/>
      <c r="T719" s="545">
        <f>SUM(T713:T718)</f>
        <v>6.4</v>
      </c>
      <c r="U719" s="545">
        <f>H719+N719+T719</f>
        <v>2138.231</v>
      </c>
      <c r="V719" s="1015">
        <f>U719*$U$4</f>
        <v>2883.07211549105</v>
      </c>
    </row>
    <row r="720" spans="1:22" ht="11.25" customHeight="1">
      <c r="A720" s="1010"/>
      <c r="B720" s="1029"/>
      <c r="C720" s="1052"/>
      <c r="D720" s="1078"/>
      <c r="E720" s="413"/>
      <c r="F720" s="412"/>
      <c r="G720" s="414"/>
      <c r="H720" s="1057"/>
      <c r="I720" s="1008"/>
      <c r="J720" s="420"/>
      <c r="K720" s="420"/>
      <c r="L720" s="420"/>
      <c r="M720" s="420"/>
      <c r="N720" s="1091"/>
      <c r="O720" s="1008"/>
      <c r="P720" s="420"/>
      <c r="Q720" s="420"/>
      <c r="R720" s="420"/>
      <c r="S720" s="420"/>
      <c r="T720" s="514"/>
      <c r="U720" s="507"/>
      <c r="V720" s="694"/>
    </row>
    <row r="721" spans="1:22" ht="26.25" customHeight="1">
      <c r="A721" s="1010">
        <v>5</v>
      </c>
      <c r="B721" s="550" t="s">
        <v>1135</v>
      </c>
      <c r="C721" s="1052"/>
      <c r="D721" s="1076" t="s">
        <v>2622</v>
      </c>
      <c r="E721" s="413" t="s">
        <v>2373</v>
      </c>
      <c r="F721" s="412">
        <v>1</v>
      </c>
      <c r="G721" s="414">
        <v>290</v>
      </c>
      <c r="H721" s="1057">
        <f>F721*G721</f>
        <v>290</v>
      </c>
      <c r="I721" s="1002" t="s">
        <v>1945</v>
      </c>
      <c r="J721" s="412">
        <v>1</v>
      </c>
      <c r="K721" s="414">
        <v>1</v>
      </c>
      <c r="L721" s="415">
        <f>K713:L713</f>
        <v>15.457749999999999</v>
      </c>
      <c r="M721" s="412">
        <v>0.25</v>
      </c>
      <c r="N721" s="1090">
        <f>K721*L721/M721</f>
        <v>61.830999999999996</v>
      </c>
      <c r="O721" s="1002" t="s">
        <v>277</v>
      </c>
      <c r="P721" s="412">
        <v>4</v>
      </c>
      <c r="Q721" s="412">
        <v>1</v>
      </c>
      <c r="R721" s="412">
        <v>0.4</v>
      </c>
      <c r="S721" s="412">
        <v>0.25</v>
      </c>
      <c r="T721" s="515">
        <f>P721*Q721*R721/S721</f>
        <v>6.4</v>
      </c>
      <c r="U721" s="507"/>
      <c r="V721" s="694"/>
    </row>
    <row r="722" spans="1:22" ht="25.5" customHeight="1">
      <c r="A722" s="1010"/>
      <c r="B722" s="1029"/>
      <c r="C722" s="1052"/>
      <c r="D722" s="1076" t="s">
        <v>2625</v>
      </c>
      <c r="E722" s="413" t="s">
        <v>2373</v>
      </c>
      <c r="F722" s="412">
        <v>5</v>
      </c>
      <c r="G722" s="414">
        <v>60</v>
      </c>
      <c r="H722" s="1057">
        <f aca="true" t="shared" si="17" ref="H722:H727">F722*G722</f>
        <v>300</v>
      </c>
      <c r="I722" s="1002" t="s">
        <v>1948</v>
      </c>
      <c r="J722" s="412">
        <v>1</v>
      </c>
      <c r="K722" s="414">
        <v>1</v>
      </c>
      <c r="L722" s="415">
        <f>L714</f>
        <v>4.375</v>
      </c>
      <c r="M722" s="412">
        <v>0.25</v>
      </c>
      <c r="N722" s="1090">
        <f>K722*L722/M722</f>
        <v>17.5</v>
      </c>
      <c r="O722" s="1002"/>
      <c r="P722" s="412"/>
      <c r="Q722" s="412"/>
      <c r="R722" s="412"/>
      <c r="S722" s="412"/>
      <c r="T722" s="514"/>
      <c r="U722" s="507"/>
      <c r="V722" s="694"/>
    </row>
    <row r="723" spans="1:22" ht="27" customHeight="1">
      <c r="A723" s="1010"/>
      <c r="B723" s="1029"/>
      <c r="C723" s="1052"/>
      <c r="D723" s="1076" t="s">
        <v>1212</v>
      </c>
      <c r="E723" s="413" t="s">
        <v>2373</v>
      </c>
      <c r="F723" s="412">
        <v>4</v>
      </c>
      <c r="G723" s="414">
        <v>60</v>
      </c>
      <c r="H723" s="1057">
        <f t="shared" si="17"/>
        <v>240</v>
      </c>
      <c r="I723" s="1002" t="s">
        <v>812</v>
      </c>
      <c r="J723" s="412">
        <v>1</v>
      </c>
      <c r="K723" s="414">
        <v>0.5</v>
      </c>
      <c r="L723" s="415">
        <f>L715</f>
        <v>26.25</v>
      </c>
      <c r="M723" s="412">
        <v>0.25</v>
      </c>
      <c r="N723" s="1090">
        <f>K723*L723/M723</f>
        <v>52.5</v>
      </c>
      <c r="O723" s="1002"/>
      <c r="P723" s="412"/>
      <c r="Q723" s="412"/>
      <c r="R723" s="412"/>
      <c r="S723" s="412"/>
      <c r="T723" s="514"/>
      <c r="U723" s="507"/>
      <c r="V723" s="694"/>
    </row>
    <row r="724" spans="1:22" ht="26.25" customHeight="1">
      <c r="A724" s="1010"/>
      <c r="B724" s="1029"/>
      <c r="C724" s="1052"/>
      <c r="D724" s="1076" t="s">
        <v>2626</v>
      </c>
      <c r="E724" s="413" t="s">
        <v>2373</v>
      </c>
      <c r="F724" s="412">
        <v>1</v>
      </c>
      <c r="G724" s="414">
        <v>60</v>
      </c>
      <c r="H724" s="1057">
        <f t="shared" si="17"/>
        <v>60</v>
      </c>
      <c r="I724" s="1002"/>
      <c r="J724" s="412"/>
      <c r="K724" s="414"/>
      <c r="L724" s="412"/>
      <c r="M724" s="412"/>
      <c r="N724" s="1091"/>
      <c r="O724" s="1002"/>
      <c r="P724" s="412"/>
      <c r="Q724" s="412"/>
      <c r="R724" s="412"/>
      <c r="S724" s="412"/>
      <c r="T724" s="514"/>
      <c r="U724" s="507"/>
      <c r="V724" s="694"/>
    </row>
    <row r="725" spans="1:22" ht="36" customHeight="1">
      <c r="A725" s="1010"/>
      <c r="B725" s="1029"/>
      <c r="C725" s="1052"/>
      <c r="D725" s="1076" t="s">
        <v>2544</v>
      </c>
      <c r="E725" s="413" t="s">
        <v>2373</v>
      </c>
      <c r="F725" s="412">
        <v>1</v>
      </c>
      <c r="G725" s="414">
        <v>290</v>
      </c>
      <c r="H725" s="1057">
        <f t="shared" si="17"/>
        <v>290</v>
      </c>
      <c r="I725" s="1002"/>
      <c r="J725" s="412"/>
      <c r="K725" s="414"/>
      <c r="L725" s="412"/>
      <c r="M725" s="412"/>
      <c r="N725" s="1091"/>
      <c r="O725" s="1002"/>
      <c r="P725" s="412"/>
      <c r="Q725" s="412"/>
      <c r="R725" s="412"/>
      <c r="S725" s="412"/>
      <c r="T725" s="514"/>
      <c r="U725" s="507"/>
      <c r="V725" s="694"/>
    </row>
    <row r="726" spans="1:22" ht="14.25" customHeight="1">
      <c r="A726" s="1010"/>
      <c r="B726" s="1029"/>
      <c r="C726" s="1052"/>
      <c r="D726" s="1078" t="s">
        <v>2537</v>
      </c>
      <c r="E726" s="413"/>
      <c r="F726" s="412"/>
      <c r="G726" s="414"/>
      <c r="H726" s="1057"/>
      <c r="I726" s="1002"/>
      <c r="J726" s="412"/>
      <c r="K726" s="414"/>
      <c r="L726" s="412"/>
      <c r="M726" s="412"/>
      <c r="N726" s="1091"/>
      <c r="O726" s="1002"/>
      <c r="P726" s="412"/>
      <c r="Q726" s="412"/>
      <c r="R726" s="412"/>
      <c r="S726" s="412"/>
      <c r="T726" s="514"/>
      <c r="U726" s="507"/>
      <c r="V726" s="694"/>
    </row>
    <row r="727" spans="1:22" ht="14.25" customHeight="1">
      <c r="A727" s="1010"/>
      <c r="B727" s="1029"/>
      <c r="C727" s="1052"/>
      <c r="D727" s="1078" t="s">
        <v>1136</v>
      </c>
      <c r="E727" s="413" t="s">
        <v>2373</v>
      </c>
      <c r="F727" s="412">
        <v>1</v>
      </c>
      <c r="G727" s="414">
        <v>400</v>
      </c>
      <c r="H727" s="1057">
        <f t="shared" si="17"/>
        <v>400</v>
      </c>
      <c r="I727" s="1002"/>
      <c r="J727" s="412"/>
      <c r="K727" s="414"/>
      <c r="L727" s="412"/>
      <c r="M727" s="412"/>
      <c r="N727" s="1091"/>
      <c r="O727" s="1002"/>
      <c r="P727" s="412"/>
      <c r="Q727" s="412"/>
      <c r="R727" s="412"/>
      <c r="S727" s="412"/>
      <c r="T727" s="514"/>
      <c r="U727" s="507"/>
      <c r="V727" s="694"/>
    </row>
    <row r="728" spans="1:22" ht="13.5" customHeight="1">
      <c r="A728" s="1014"/>
      <c r="B728" s="1033"/>
      <c r="C728" s="1053"/>
      <c r="D728" s="1083"/>
      <c r="E728" s="544"/>
      <c r="F728" s="545"/>
      <c r="G728" s="545"/>
      <c r="H728" s="1015">
        <f>SUM(H721:H727)</f>
        <v>1580</v>
      </c>
      <c r="I728" s="1017"/>
      <c r="J728" s="545"/>
      <c r="K728" s="545"/>
      <c r="L728" s="545"/>
      <c r="M728" s="545"/>
      <c r="N728" s="1015">
        <f>SUM(N721:N727)</f>
        <v>131.831</v>
      </c>
      <c r="O728" s="1017"/>
      <c r="P728" s="545"/>
      <c r="Q728" s="545"/>
      <c r="R728" s="545"/>
      <c r="S728" s="545"/>
      <c r="T728" s="545">
        <f>SUM(T721:T727)</f>
        <v>6.4</v>
      </c>
      <c r="U728" s="545">
        <f>H728+N728+T728</f>
        <v>1718.231</v>
      </c>
      <c r="V728" s="1015">
        <f>U728*$U$4</f>
        <v>2316.76740449105</v>
      </c>
    </row>
    <row r="729" spans="1:22" ht="12.75" customHeight="1">
      <c r="A729" s="1010"/>
      <c r="B729" s="1029"/>
      <c r="C729" s="1052"/>
      <c r="D729" s="1078"/>
      <c r="E729" s="413"/>
      <c r="F729" s="412"/>
      <c r="G729" s="414"/>
      <c r="H729" s="1057"/>
      <c r="I729" s="1002"/>
      <c r="J729" s="412"/>
      <c r="K729" s="414"/>
      <c r="L729" s="412"/>
      <c r="M729" s="412"/>
      <c r="N729" s="1091"/>
      <c r="O729" s="1002"/>
      <c r="P729" s="412"/>
      <c r="Q729" s="412"/>
      <c r="R729" s="412"/>
      <c r="S729" s="412"/>
      <c r="T729" s="514"/>
      <c r="U729" s="507"/>
      <c r="V729" s="694"/>
    </row>
    <row r="730" spans="1:22" ht="27" customHeight="1">
      <c r="A730" s="1010">
        <v>6</v>
      </c>
      <c r="B730" s="550" t="s">
        <v>1135</v>
      </c>
      <c r="C730" s="1052"/>
      <c r="D730" s="1076" t="s">
        <v>2629</v>
      </c>
      <c r="E730" s="413" t="s">
        <v>2373</v>
      </c>
      <c r="F730" s="412">
        <v>1</v>
      </c>
      <c r="G730" s="414">
        <v>60</v>
      </c>
      <c r="H730" s="1059">
        <f>F730*G730</f>
        <v>60</v>
      </c>
      <c r="I730" s="1002" t="s">
        <v>1945</v>
      </c>
      <c r="J730" s="412">
        <v>1</v>
      </c>
      <c r="K730" s="414">
        <v>1</v>
      </c>
      <c r="L730" s="415">
        <f>L721</f>
        <v>15.457749999999999</v>
      </c>
      <c r="M730" s="412">
        <v>0.5</v>
      </c>
      <c r="N730" s="1090">
        <f>K730*L730/M730</f>
        <v>30.915499999999998</v>
      </c>
      <c r="O730" s="1002" t="s">
        <v>277</v>
      </c>
      <c r="P730" s="412">
        <v>4</v>
      </c>
      <c r="Q730" s="412">
        <v>1</v>
      </c>
      <c r="R730" s="412">
        <v>0.4</v>
      </c>
      <c r="S730" s="412">
        <v>0.5</v>
      </c>
      <c r="T730" s="515">
        <f>P730*Q730*R730/S730</f>
        <v>3.2</v>
      </c>
      <c r="U730" s="507"/>
      <c r="V730" s="694"/>
    </row>
    <row r="731" spans="1:22" ht="25.5" customHeight="1">
      <c r="A731" s="1010"/>
      <c r="B731" s="552"/>
      <c r="C731" s="1052"/>
      <c r="D731" s="1076" t="s">
        <v>2543</v>
      </c>
      <c r="E731" s="413" t="s">
        <v>2373</v>
      </c>
      <c r="F731" s="412">
        <v>1</v>
      </c>
      <c r="G731" s="414">
        <v>60</v>
      </c>
      <c r="H731" s="1059">
        <f>F731*G731</f>
        <v>60</v>
      </c>
      <c r="I731" s="1002" t="s">
        <v>1948</v>
      </c>
      <c r="J731" s="412">
        <v>1</v>
      </c>
      <c r="K731" s="414">
        <v>1</v>
      </c>
      <c r="L731" s="415">
        <f>L722</f>
        <v>4.375</v>
      </c>
      <c r="M731" s="412">
        <v>0.5</v>
      </c>
      <c r="N731" s="1090">
        <f>K731*L731/M731</f>
        <v>8.75</v>
      </c>
      <c r="O731" s="1002"/>
      <c r="P731" s="412"/>
      <c r="Q731" s="412"/>
      <c r="R731" s="412"/>
      <c r="S731" s="412"/>
      <c r="T731" s="514"/>
      <c r="U731" s="507"/>
      <c r="V731" s="694"/>
    </row>
    <row r="732" spans="1:22" ht="25.5" customHeight="1">
      <c r="A732" s="1010"/>
      <c r="B732" s="552"/>
      <c r="C732" s="1052"/>
      <c r="D732" s="1076" t="s">
        <v>2548</v>
      </c>
      <c r="E732" s="413" t="s">
        <v>2373</v>
      </c>
      <c r="F732" s="412">
        <v>1</v>
      </c>
      <c r="G732" s="414">
        <v>60</v>
      </c>
      <c r="H732" s="1059">
        <f>F732*G732</f>
        <v>60</v>
      </c>
      <c r="I732" s="1002" t="s">
        <v>812</v>
      </c>
      <c r="J732" s="412">
        <v>1</v>
      </c>
      <c r="K732" s="414">
        <v>0.5</v>
      </c>
      <c r="L732" s="415">
        <f>L723</f>
        <v>26.25</v>
      </c>
      <c r="M732" s="412">
        <v>0.5</v>
      </c>
      <c r="N732" s="1090">
        <f>K732*L732/M732</f>
        <v>26.25</v>
      </c>
      <c r="O732" s="1002"/>
      <c r="P732" s="412"/>
      <c r="Q732" s="412"/>
      <c r="R732" s="412"/>
      <c r="S732" s="412"/>
      <c r="T732" s="514"/>
      <c r="U732" s="507"/>
      <c r="V732" s="694"/>
    </row>
    <row r="733" spans="1:22" ht="35.25" customHeight="1">
      <c r="A733" s="1010"/>
      <c r="B733" s="552"/>
      <c r="C733" s="1052"/>
      <c r="D733" s="1076" t="s">
        <v>2630</v>
      </c>
      <c r="E733" s="413" t="s">
        <v>2373</v>
      </c>
      <c r="F733" s="412">
        <v>1</v>
      </c>
      <c r="G733" s="414">
        <v>290</v>
      </c>
      <c r="H733" s="1059">
        <f>F733*G733</f>
        <v>290</v>
      </c>
      <c r="I733" s="1002"/>
      <c r="J733" s="412"/>
      <c r="K733" s="414"/>
      <c r="L733" s="412"/>
      <c r="M733" s="412"/>
      <c r="N733" s="1091"/>
      <c r="O733" s="1002"/>
      <c r="P733" s="412"/>
      <c r="Q733" s="412"/>
      <c r="R733" s="412"/>
      <c r="S733" s="412"/>
      <c r="T733" s="514"/>
      <c r="U733" s="507"/>
      <c r="V733" s="694"/>
    </row>
    <row r="734" spans="1:22" ht="14.25" customHeight="1">
      <c r="A734" s="1010"/>
      <c r="B734" s="552"/>
      <c r="C734" s="1052"/>
      <c r="D734" s="1078" t="s">
        <v>2537</v>
      </c>
      <c r="E734" s="413"/>
      <c r="F734" s="412"/>
      <c r="G734" s="414"/>
      <c r="H734" s="1059"/>
      <c r="I734" s="1002"/>
      <c r="J734" s="412"/>
      <c r="K734" s="414"/>
      <c r="L734" s="412"/>
      <c r="M734" s="412"/>
      <c r="N734" s="1091"/>
      <c r="O734" s="1002"/>
      <c r="P734" s="412"/>
      <c r="Q734" s="412"/>
      <c r="R734" s="412"/>
      <c r="S734" s="412"/>
      <c r="T734" s="514"/>
      <c r="U734" s="507"/>
      <c r="V734" s="694"/>
    </row>
    <row r="735" spans="1:22" ht="12" customHeight="1">
      <c r="A735" s="1010"/>
      <c r="B735" s="1029"/>
      <c r="C735" s="1052"/>
      <c r="D735" s="1078" t="s">
        <v>1136</v>
      </c>
      <c r="E735" s="413" t="s">
        <v>2373</v>
      </c>
      <c r="F735" s="412">
        <v>1</v>
      </c>
      <c r="G735" s="414">
        <v>350</v>
      </c>
      <c r="H735" s="1059">
        <f>F735*G735</f>
        <v>350</v>
      </c>
      <c r="I735" s="1002"/>
      <c r="J735" s="412"/>
      <c r="K735" s="414"/>
      <c r="L735" s="412"/>
      <c r="M735" s="412"/>
      <c r="N735" s="1091"/>
      <c r="O735" s="1002"/>
      <c r="P735" s="412"/>
      <c r="Q735" s="412"/>
      <c r="R735" s="412"/>
      <c r="S735" s="412"/>
      <c r="T735" s="514"/>
      <c r="U735" s="507"/>
      <c r="V735" s="694"/>
    </row>
    <row r="736" spans="1:22" ht="12.75" customHeight="1">
      <c r="A736" s="1014"/>
      <c r="B736" s="1033"/>
      <c r="C736" s="1053"/>
      <c r="D736" s="1083"/>
      <c r="E736" s="544"/>
      <c r="F736" s="545"/>
      <c r="G736" s="545"/>
      <c r="H736" s="1015">
        <f>SUM(H730:H735)</f>
        <v>820</v>
      </c>
      <c r="I736" s="1017"/>
      <c r="J736" s="545"/>
      <c r="K736" s="545"/>
      <c r="L736" s="545"/>
      <c r="M736" s="545"/>
      <c r="N736" s="1015">
        <f>SUM(N730:N735)</f>
        <v>65.9155</v>
      </c>
      <c r="O736" s="1017"/>
      <c r="P736" s="545"/>
      <c r="Q736" s="545"/>
      <c r="R736" s="545"/>
      <c r="S736" s="545"/>
      <c r="T736" s="545">
        <f>SUM(T730:T735)</f>
        <v>3.2</v>
      </c>
      <c r="U736" s="545">
        <f>H736+N736+T736</f>
        <v>889.1155</v>
      </c>
      <c r="V736" s="1015">
        <f>U736*$U$4</f>
        <v>1198.834038745525</v>
      </c>
    </row>
    <row r="737" spans="1:22" ht="19.5" customHeight="1">
      <c r="A737" s="1010"/>
      <c r="B737" s="1029"/>
      <c r="C737" s="1052"/>
      <c r="D737" s="1078"/>
      <c r="E737" s="413"/>
      <c r="F737" s="412"/>
      <c r="G737" s="414"/>
      <c r="H737" s="1057"/>
      <c r="I737" s="1002"/>
      <c r="J737" s="412"/>
      <c r="K737" s="414"/>
      <c r="L737" s="412"/>
      <c r="M737" s="412"/>
      <c r="N737" s="1091"/>
      <c r="O737" s="1008"/>
      <c r="P737" s="420"/>
      <c r="Q737" s="420"/>
      <c r="R737" s="420"/>
      <c r="S737" s="420"/>
      <c r="T737" s="514"/>
      <c r="U737" s="507"/>
      <c r="V737" s="694"/>
    </row>
    <row r="738" spans="1:22" ht="27" customHeight="1">
      <c r="A738" s="1010">
        <v>7</v>
      </c>
      <c r="B738" s="550" t="s">
        <v>1135</v>
      </c>
      <c r="C738" s="1052"/>
      <c r="D738" s="1076" t="s">
        <v>2686</v>
      </c>
      <c r="E738" s="413" t="s">
        <v>2373</v>
      </c>
      <c r="F738" s="412">
        <v>1</v>
      </c>
      <c r="G738" s="414">
        <f>'Electrical Items 2'!C121</f>
        <v>95</v>
      </c>
      <c r="H738" s="1059">
        <f aca="true" t="shared" si="18" ref="H738:H743">F738*G738</f>
        <v>95</v>
      </c>
      <c r="I738" s="1002" t="s">
        <v>1945</v>
      </c>
      <c r="J738" s="412">
        <v>1</v>
      </c>
      <c r="K738" s="414">
        <v>1</v>
      </c>
      <c r="L738" s="415">
        <f>L721</f>
        <v>15.457749999999999</v>
      </c>
      <c r="M738" s="412">
        <v>0.5</v>
      </c>
      <c r="N738" s="1090">
        <f>K738*L738/M738</f>
        <v>30.915499999999998</v>
      </c>
      <c r="O738" s="1002" t="s">
        <v>277</v>
      </c>
      <c r="P738" s="412">
        <v>4</v>
      </c>
      <c r="Q738" s="412">
        <v>1</v>
      </c>
      <c r="R738" s="412">
        <v>0.4</v>
      </c>
      <c r="S738" s="412">
        <v>0.5</v>
      </c>
      <c r="T738" s="515">
        <f>P738*Q738*R738/S738</f>
        <v>3.2</v>
      </c>
      <c r="U738" s="507"/>
      <c r="V738" s="694"/>
    </row>
    <row r="739" spans="1:22" ht="27" customHeight="1">
      <c r="A739" s="1010"/>
      <c r="B739" s="1029"/>
      <c r="C739" s="1052"/>
      <c r="D739" s="1078" t="s">
        <v>2633</v>
      </c>
      <c r="E739" s="413" t="s">
        <v>2373</v>
      </c>
      <c r="F739" s="412">
        <v>9</v>
      </c>
      <c r="G739" s="414">
        <f>'Electrical Items 2'!C117</f>
        <v>78</v>
      </c>
      <c r="H739" s="1059">
        <f t="shared" si="18"/>
        <v>702</v>
      </c>
      <c r="I739" s="1002" t="s">
        <v>1948</v>
      </c>
      <c r="J739" s="412">
        <v>1</v>
      </c>
      <c r="K739" s="414">
        <v>1</v>
      </c>
      <c r="L739" s="415">
        <f>L731</f>
        <v>4.375</v>
      </c>
      <c r="M739" s="412">
        <v>0.5</v>
      </c>
      <c r="N739" s="1090">
        <f>K739*L739/M739</f>
        <v>8.75</v>
      </c>
      <c r="O739" s="1002"/>
      <c r="P739" s="412"/>
      <c r="Q739" s="412"/>
      <c r="R739" s="412"/>
      <c r="S739" s="412"/>
      <c r="T739" s="514"/>
      <c r="U739" s="507"/>
      <c r="V739" s="694"/>
    </row>
    <row r="740" spans="1:22" ht="27" customHeight="1">
      <c r="A740" s="1010"/>
      <c r="B740" s="1029"/>
      <c r="C740" s="1052"/>
      <c r="D740" s="1077" t="s">
        <v>2548</v>
      </c>
      <c r="E740" s="413" t="s">
        <v>2373</v>
      </c>
      <c r="F740" s="412">
        <v>2</v>
      </c>
      <c r="G740" s="414">
        <f>'Electrical Items 2'!C116</f>
        <v>78</v>
      </c>
      <c r="H740" s="1059">
        <f t="shared" si="18"/>
        <v>156</v>
      </c>
      <c r="I740" s="1002" t="s">
        <v>812</v>
      </c>
      <c r="J740" s="412">
        <v>1</v>
      </c>
      <c r="K740" s="414">
        <v>0.5</v>
      </c>
      <c r="L740" s="415">
        <f>L732</f>
        <v>26.25</v>
      </c>
      <c r="M740" s="412">
        <v>0.5</v>
      </c>
      <c r="N740" s="1090">
        <f>K740*L740/M740</f>
        <v>26.25</v>
      </c>
      <c r="O740" s="1002"/>
      <c r="P740" s="412"/>
      <c r="Q740" s="412"/>
      <c r="R740" s="412"/>
      <c r="S740" s="412"/>
      <c r="T740" s="514"/>
      <c r="U740" s="507"/>
      <c r="V740" s="694"/>
    </row>
    <row r="741" spans="1:22" ht="35.25" customHeight="1">
      <c r="A741" s="1010"/>
      <c r="B741" s="1029"/>
      <c r="C741" s="1052"/>
      <c r="D741" s="1076" t="s">
        <v>2630</v>
      </c>
      <c r="E741" s="413" t="s">
        <v>2373</v>
      </c>
      <c r="F741" s="412">
        <v>1</v>
      </c>
      <c r="G741" s="414">
        <f>290*2</f>
        <v>580</v>
      </c>
      <c r="H741" s="1059">
        <f t="shared" si="18"/>
        <v>580</v>
      </c>
      <c r="I741" s="1002"/>
      <c r="J741" s="412"/>
      <c r="K741" s="414"/>
      <c r="L741" s="412"/>
      <c r="M741" s="412"/>
      <c r="N741" s="1091"/>
      <c r="O741" s="1002"/>
      <c r="P741" s="412"/>
      <c r="Q741" s="412"/>
      <c r="R741" s="412"/>
      <c r="S741" s="412"/>
      <c r="T741" s="514"/>
      <c r="U741" s="507"/>
      <c r="V741" s="694"/>
    </row>
    <row r="742" spans="1:22" ht="13.5" customHeight="1">
      <c r="A742" s="1010"/>
      <c r="B742" s="1029"/>
      <c r="C742" s="1052"/>
      <c r="D742" s="1078" t="s">
        <v>2537</v>
      </c>
      <c r="E742" s="413"/>
      <c r="F742" s="412"/>
      <c r="G742" s="414"/>
      <c r="H742" s="1059">
        <f t="shared" si="18"/>
        <v>0</v>
      </c>
      <c r="I742" s="1002"/>
      <c r="J742" s="412"/>
      <c r="K742" s="414"/>
      <c r="L742" s="412"/>
      <c r="M742" s="412"/>
      <c r="N742" s="1091"/>
      <c r="O742" s="1002"/>
      <c r="P742" s="412"/>
      <c r="Q742" s="412"/>
      <c r="R742" s="412"/>
      <c r="S742" s="412"/>
      <c r="T742" s="514"/>
      <c r="U742" s="507"/>
      <c r="V742" s="694"/>
    </row>
    <row r="743" spans="1:22" ht="12.75" customHeight="1">
      <c r="A743" s="1010"/>
      <c r="B743" s="1029"/>
      <c r="C743" s="1052"/>
      <c r="D743" s="1078" t="s">
        <v>1136</v>
      </c>
      <c r="E743" s="413" t="s">
        <v>2373</v>
      </c>
      <c r="F743" s="412">
        <v>1</v>
      </c>
      <c r="G743" s="414">
        <v>350</v>
      </c>
      <c r="H743" s="1059">
        <f t="shared" si="18"/>
        <v>350</v>
      </c>
      <c r="I743" s="1002"/>
      <c r="J743" s="412"/>
      <c r="K743" s="414"/>
      <c r="L743" s="412"/>
      <c r="M743" s="412"/>
      <c r="N743" s="1091"/>
      <c r="O743" s="1002"/>
      <c r="P743" s="412"/>
      <c r="Q743" s="412"/>
      <c r="R743" s="412"/>
      <c r="S743" s="412"/>
      <c r="T743" s="514"/>
      <c r="U743" s="507"/>
      <c r="V743" s="694"/>
    </row>
    <row r="744" spans="1:22" ht="12.75" customHeight="1">
      <c r="A744" s="1014"/>
      <c r="B744" s="1033"/>
      <c r="C744" s="1053"/>
      <c r="D744" s="1083"/>
      <c r="E744" s="544"/>
      <c r="F744" s="545"/>
      <c r="G744" s="545"/>
      <c r="H744" s="1015">
        <f>SUM(H738:H743)</f>
        <v>1883</v>
      </c>
      <c r="I744" s="1017"/>
      <c r="J744" s="545"/>
      <c r="K744" s="545"/>
      <c r="L744" s="545"/>
      <c r="M744" s="545"/>
      <c r="N744" s="1015">
        <f>SUM(N738:N743)</f>
        <v>65.9155</v>
      </c>
      <c r="O744" s="1017"/>
      <c r="P744" s="545"/>
      <c r="Q744" s="545"/>
      <c r="R744" s="545"/>
      <c r="S744" s="545"/>
      <c r="T744" s="545">
        <f>SUM(T738:T743)</f>
        <v>3.2</v>
      </c>
      <c r="U744" s="545">
        <f>H744+N744+T744</f>
        <v>1952.1155</v>
      </c>
      <c r="V744" s="1015">
        <f>U744*$U$4</f>
        <v>2632.124295395525</v>
      </c>
    </row>
    <row r="745" spans="1:22" ht="12.75" customHeight="1">
      <c r="A745" s="1010"/>
      <c r="B745" s="1029"/>
      <c r="C745" s="1052"/>
      <c r="D745" s="1078"/>
      <c r="E745" s="413"/>
      <c r="F745" s="412"/>
      <c r="G745" s="414"/>
      <c r="H745" s="1057"/>
      <c r="I745" s="1002"/>
      <c r="J745" s="412"/>
      <c r="K745" s="414"/>
      <c r="L745" s="412"/>
      <c r="M745" s="412"/>
      <c r="N745" s="1091"/>
      <c r="O745" s="1002"/>
      <c r="P745" s="412"/>
      <c r="Q745" s="412"/>
      <c r="R745" s="412"/>
      <c r="S745" s="412"/>
      <c r="T745" s="514"/>
      <c r="U745" s="507"/>
      <c r="V745" s="694"/>
    </row>
    <row r="746" spans="1:22" ht="27" customHeight="1">
      <c r="A746" s="1010">
        <v>8</v>
      </c>
      <c r="B746" s="1029" t="s">
        <v>1141</v>
      </c>
      <c r="C746" s="1052"/>
      <c r="D746" s="1084" t="s">
        <v>2558</v>
      </c>
      <c r="E746" s="413" t="s">
        <v>2373</v>
      </c>
      <c r="F746" s="412">
        <v>1</v>
      </c>
      <c r="G746" s="414">
        <v>290</v>
      </c>
      <c r="H746" s="1059">
        <f>F746*G746</f>
        <v>290</v>
      </c>
      <c r="I746" s="1002" t="s">
        <v>1945</v>
      </c>
      <c r="J746" s="412">
        <v>1</v>
      </c>
      <c r="K746" s="414">
        <v>1</v>
      </c>
      <c r="L746" s="415">
        <f>L738</f>
        <v>15.457749999999999</v>
      </c>
      <c r="M746" s="412">
        <v>0.5</v>
      </c>
      <c r="N746" s="1090">
        <f>K746*L746/M746</f>
        <v>30.915499999999998</v>
      </c>
      <c r="O746" s="1002" t="s">
        <v>277</v>
      </c>
      <c r="P746" s="412">
        <v>4</v>
      </c>
      <c r="Q746" s="412">
        <v>1</v>
      </c>
      <c r="R746" s="412">
        <v>0.4</v>
      </c>
      <c r="S746" s="412">
        <v>0.5</v>
      </c>
      <c r="T746" s="515">
        <f>P746*Q746*R746/S746</f>
        <v>3.2</v>
      </c>
      <c r="U746" s="507"/>
      <c r="V746" s="694"/>
    </row>
    <row r="747" spans="1:22" ht="26.25" customHeight="1">
      <c r="A747" s="1010"/>
      <c r="B747" s="1029"/>
      <c r="C747" s="1052"/>
      <c r="D747" s="1084" t="s">
        <v>2559</v>
      </c>
      <c r="E747" s="413" t="s">
        <v>2373</v>
      </c>
      <c r="F747" s="412">
        <v>1</v>
      </c>
      <c r="G747" s="414">
        <v>200</v>
      </c>
      <c r="H747" s="1059">
        <f aca="true" t="shared" si="19" ref="H747:H758">F747*G747</f>
        <v>200</v>
      </c>
      <c r="I747" s="1002" t="s">
        <v>1948</v>
      </c>
      <c r="J747" s="412">
        <v>1</v>
      </c>
      <c r="K747" s="414">
        <v>1</v>
      </c>
      <c r="L747" s="415">
        <f>L739</f>
        <v>4.375</v>
      </c>
      <c r="M747" s="412">
        <v>0.5</v>
      </c>
      <c r="N747" s="1090">
        <f>K747*L747/M747</f>
        <v>8.75</v>
      </c>
      <c r="O747" s="1002"/>
      <c r="P747" s="412"/>
      <c r="Q747" s="412"/>
      <c r="R747" s="412"/>
      <c r="S747" s="412"/>
      <c r="T747" s="514"/>
      <c r="U747" s="507"/>
      <c r="V747" s="694"/>
    </row>
    <row r="748" spans="1:22" ht="27" customHeight="1">
      <c r="A748" s="1010"/>
      <c r="B748" s="1029"/>
      <c r="C748" s="1052"/>
      <c r="D748" s="1084" t="s">
        <v>2560</v>
      </c>
      <c r="E748" s="413" t="s">
        <v>2373</v>
      </c>
      <c r="F748" s="412">
        <v>1</v>
      </c>
      <c r="G748" s="414">
        <v>180</v>
      </c>
      <c r="H748" s="1059">
        <f t="shared" si="19"/>
        <v>180</v>
      </c>
      <c r="I748" s="1002" t="s">
        <v>812</v>
      </c>
      <c r="J748" s="412">
        <v>1</v>
      </c>
      <c r="K748" s="414">
        <v>0.5</v>
      </c>
      <c r="L748" s="415">
        <f>L740</f>
        <v>26.25</v>
      </c>
      <c r="M748" s="412">
        <v>0.5</v>
      </c>
      <c r="N748" s="1090">
        <f>K748*L748/M748</f>
        <v>26.25</v>
      </c>
      <c r="O748" s="1002"/>
      <c r="P748" s="412"/>
      <c r="Q748" s="412"/>
      <c r="R748" s="412"/>
      <c r="S748" s="412"/>
      <c r="T748" s="514"/>
      <c r="U748" s="507"/>
      <c r="V748" s="694"/>
    </row>
    <row r="749" spans="1:22" ht="27" customHeight="1">
      <c r="A749" s="1010"/>
      <c r="B749" s="1029"/>
      <c r="C749" s="1052"/>
      <c r="D749" s="1084" t="s">
        <v>2561</v>
      </c>
      <c r="E749" s="413" t="s">
        <v>2373</v>
      </c>
      <c r="F749" s="412">
        <v>1</v>
      </c>
      <c r="G749" s="414">
        <v>180</v>
      </c>
      <c r="H749" s="1059">
        <f t="shared" si="19"/>
        <v>180</v>
      </c>
      <c r="I749" s="1002"/>
      <c r="J749" s="412"/>
      <c r="K749" s="414"/>
      <c r="L749" s="412"/>
      <c r="M749" s="412"/>
      <c r="N749" s="1091"/>
      <c r="O749" s="1002"/>
      <c r="P749" s="412"/>
      <c r="Q749" s="412"/>
      <c r="R749" s="412"/>
      <c r="S749" s="412"/>
      <c r="T749" s="514"/>
      <c r="U749" s="507"/>
      <c r="V749" s="694"/>
    </row>
    <row r="750" spans="1:22" ht="27" customHeight="1">
      <c r="A750" s="1010"/>
      <c r="B750" s="1029"/>
      <c r="C750" s="1052"/>
      <c r="D750" s="1084" t="s">
        <v>2562</v>
      </c>
      <c r="E750" s="413" t="s">
        <v>2373</v>
      </c>
      <c r="F750" s="412">
        <v>1</v>
      </c>
      <c r="G750" s="414">
        <v>60</v>
      </c>
      <c r="H750" s="1059">
        <f t="shared" si="19"/>
        <v>60</v>
      </c>
      <c r="I750" s="1002"/>
      <c r="J750" s="412"/>
      <c r="K750" s="414"/>
      <c r="L750" s="412"/>
      <c r="M750" s="412"/>
      <c r="N750" s="1091"/>
      <c r="O750" s="1002"/>
      <c r="P750" s="412"/>
      <c r="Q750" s="412"/>
      <c r="R750" s="412"/>
      <c r="S750" s="412"/>
      <c r="T750" s="514"/>
      <c r="U750" s="507"/>
      <c r="V750" s="694"/>
    </row>
    <row r="751" spans="1:22" ht="27" customHeight="1">
      <c r="A751" s="1010"/>
      <c r="B751" s="1029"/>
      <c r="C751" s="1052"/>
      <c r="D751" s="1085" t="s">
        <v>2563</v>
      </c>
      <c r="E751" s="413" t="s">
        <v>2373</v>
      </c>
      <c r="F751" s="412">
        <v>4</v>
      </c>
      <c r="G751" s="414">
        <v>60</v>
      </c>
      <c r="H751" s="1059">
        <f t="shared" si="19"/>
        <v>240</v>
      </c>
      <c r="I751" s="1002"/>
      <c r="J751" s="412"/>
      <c r="K751" s="414"/>
      <c r="L751" s="412"/>
      <c r="M751" s="412"/>
      <c r="N751" s="1091"/>
      <c r="O751" s="1002"/>
      <c r="P751" s="412"/>
      <c r="Q751" s="412"/>
      <c r="R751" s="412"/>
      <c r="S751" s="412"/>
      <c r="T751" s="514"/>
      <c r="U751" s="507"/>
      <c r="V751" s="694"/>
    </row>
    <row r="752" spans="1:22" ht="42.75" customHeight="1">
      <c r="A752" s="1010"/>
      <c r="B752" s="1029"/>
      <c r="C752" s="1052"/>
      <c r="D752" s="1084" t="s">
        <v>1417</v>
      </c>
      <c r="E752" s="413" t="s">
        <v>2373</v>
      </c>
      <c r="F752" s="412">
        <v>1</v>
      </c>
      <c r="G752" s="414">
        <v>500</v>
      </c>
      <c r="H752" s="1059">
        <f t="shared" si="19"/>
        <v>500</v>
      </c>
      <c r="I752" s="1002"/>
      <c r="J752" s="412"/>
      <c r="K752" s="414"/>
      <c r="L752" s="412"/>
      <c r="M752" s="412"/>
      <c r="N752" s="1091"/>
      <c r="O752" s="1002"/>
      <c r="P752" s="412"/>
      <c r="Q752" s="412"/>
      <c r="R752" s="412"/>
      <c r="S752" s="412"/>
      <c r="T752" s="514"/>
      <c r="U752" s="507"/>
      <c r="V752" s="694"/>
    </row>
    <row r="753" spans="1:22" ht="44.25" customHeight="1">
      <c r="A753" s="1010"/>
      <c r="B753" s="1029"/>
      <c r="C753" s="1052"/>
      <c r="D753" s="1084" t="s">
        <v>2565</v>
      </c>
      <c r="E753" s="413" t="s">
        <v>2373</v>
      </c>
      <c r="F753" s="412">
        <v>1</v>
      </c>
      <c r="G753" s="414">
        <v>500</v>
      </c>
      <c r="H753" s="1059">
        <f t="shared" si="19"/>
        <v>500</v>
      </c>
      <c r="I753" s="1002"/>
      <c r="J753" s="412"/>
      <c r="K753" s="414"/>
      <c r="L753" s="412"/>
      <c r="M753" s="412"/>
      <c r="N753" s="1091"/>
      <c r="O753" s="1002"/>
      <c r="P753" s="412"/>
      <c r="Q753" s="412"/>
      <c r="R753" s="412"/>
      <c r="S753" s="412"/>
      <c r="T753" s="514"/>
      <c r="U753" s="507"/>
      <c r="V753" s="694"/>
    </row>
    <row r="754" spans="1:22" ht="27.75" customHeight="1">
      <c r="A754" s="1010"/>
      <c r="B754" s="1029"/>
      <c r="C754" s="1052"/>
      <c r="D754" s="1084" t="s">
        <v>2534</v>
      </c>
      <c r="E754" s="413" t="s">
        <v>2373</v>
      </c>
      <c r="F754" s="412">
        <v>1</v>
      </c>
      <c r="G754" s="414">
        <v>1500</v>
      </c>
      <c r="H754" s="1059">
        <f t="shared" si="19"/>
        <v>1500</v>
      </c>
      <c r="I754" s="1002"/>
      <c r="J754" s="412"/>
      <c r="K754" s="414"/>
      <c r="L754" s="412"/>
      <c r="M754" s="412"/>
      <c r="N754" s="1091"/>
      <c r="O754" s="1002"/>
      <c r="P754" s="412"/>
      <c r="Q754" s="412"/>
      <c r="R754" s="412"/>
      <c r="S754" s="412"/>
      <c r="T754" s="514"/>
      <c r="U754" s="507"/>
      <c r="V754" s="694"/>
    </row>
    <row r="755" spans="1:22" ht="35.25" customHeight="1">
      <c r="A755" s="1010"/>
      <c r="B755" s="1029"/>
      <c r="C755" s="1052"/>
      <c r="D755" s="1084" t="s">
        <v>2535</v>
      </c>
      <c r="E755" s="413" t="s">
        <v>2373</v>
      </c>
      <c r="F755" s="412">
        <v>1</v>
      </c>
      <c r="G755" s="414">
        <v>500</v>
      </c>
      <c r="H755" s="1059">
        <f t="shared" si="19"/>
        <v>500</v>
      </c>
      <c r="I755" s="1002"/>
      <c r="J755" s="412"/>
      <c r="K755" s="414"/>
      <c r="L755" s="412"/>
      <c r="M755" s="412"/>
      <c r="N755" s="1091"/>
      <c r="O755" s="1002"/>
      <c r="P755" s="412"/>
      <c r="Q755" s="412"/>
      <c r="R755" s="412"/>
      <c r="S755" s="412"/>
      <c r="T755" s="514"/>
      <c r="U755" s="507"/>
      <c r="V755" s="694"/>
    </row>
    <row r="756" spans="1:22" ht="35.25" customHeight="1">
      <c r="A756" s="1010"/>
      <c r="B756" s="1029"/>
      <c r="C756" s="1052"/>
      <c r="D756" s="1084" t="s">
        <v>2112</v>
      </c>
      <c r="E756" s="413" t="s">
        <v>2373</v>
      </c>
      <c r="F756" s="412">
        <v>1</v>
      </c>
      <c r="G756" s="414">
        <v>1180</v>
      </c>
      <c r="H756" s="1059">
        <f t="shared" si="19"/>
        <v>1180</v>
      </c>
      <c r="I756" s="1002"/>
      <c r="J756" s="412"/>
      <c r="K756" s="414"/>
      <c r="L756" s="412"/>
      <c r="M756" s="412"/>
      <c r="N756" s="1091"/>
      <c r="O756" s="1002"/>
      <c r="P756" s="412"/>
      <c r="Q756" s="412"/>
      <c r="R756" s="412"/>
      <c r="S756" s="412"/>
      <c r="T756" s="514"/>
      <c r="U756" s="507"/>
      <c r="V756" s="694"/>
    </row>
    <row r="757" spans="1:22" ht="12" customHeight="1">
      <c r="A757" s="1010"/>
      <c r="B757" s="1029"/>
      <c r="C757" s="1052"/>
      <c r="D757" s="1084" t="s">
        <v>2537</v>
      </c>
      <c r="E757" s="413"/>
      <c r="F757" s="412"/>
      <c r="G757" s="414"/>
      <c r="H757" s="1059"/>
      <c r="I757" s="1002"/>
      <c r="J757" s="412"/>
      <c r="K757" s="414"/>
      <c r="L757" s="412"/>
      <c r="M757" s="412"/>
      <c r="N757" s="1091"/>
      <c r="O757" s="1002"/>
      <c r="P757" s="412"/>
      <c r="Q757" s="412"/>
      <c r="R757" s="412"/>
      <c r="S757" s="412"/>
      <c r="T757" s="514"/>
      <c r="U757" s="507"/>
      <c r="V757" s="694"/>
    </row>
    <row r="758" spans="1:22" ht="12" customHeight="1">
      <c r="A758" s="1010"/>
      <c r="B758" s="1029"/>
      <c r="C758" s="1052"/>
      <c r="D758" s="1078" t="s">
        <v>1136</v>
      </c>
      <c r="E758" s="413" t="s">
        <v>2373</v>
      </c>
      <c r="F758" s="412">
        <v>1</v>
      </c>
      <c r="G758" s="414">
        <v>1000</v>
      </c>
      <c r="H758" s="1059">
        <f t="shared" si="19"/>
        <v>1000</v>
      </c>
      <c r="I758" s="1002"/>
      <c r="J758" s="412"/>
      <c r="K758" s="414"/>
      <c r="L758" s="412"/>
      <c r="M758" s="412"/>
      <c r="N758" s="1091"/>
      <c r="O758" s="1002"/>
      <c r="P758" s="412"/>
      <c r="Q758" s="412"/>
      <c r="R758" s="412"/>
      <c r="S758" s="412"/>
      <c r="T758" s="514"/>
      <c r="U758" s="507"/>
      <c r="V758" s="694"/>
    </row>
    <row r="759" spans="1:22" ht="12" customHeight="1">
      <c r="A759" s="1014"/>
      <c r="B759" s="1033"/>
      <c r="C759" s="1053"/>
      <c r="D759" s="1083"/>
      <c r="E759" s="544"/>
      <c r="F759" s="545"/>
      <c r="G759" s="545"/>
      <c r="H759" s="1015">
        <f>SUM(H746:H758)</f>
        <v>6330</v>
      </c>
      <c r="I759" s="1017"/>
      <c r="J759" s="545"/>
      <c r="K759" s="545"/>
      <c r="L759" s="545"/>
      <c r="M759" s="545"/>
      <c r="N759" s="1015">
        <f>SUM(N746:N758)</f>
        <v>65.9155</v>
      </c>
      <c r="O759" s="1017"/>
      <c r="P759" s="545"/>
      <c r="Q759" s="545"/>
      <c r="R759" s="545"/>
      <c r="S759" s="545"/>
      <c r="T759" s="545">
        <f>SUM(T746:T758)</f>
        <v>3.2</v>
      </c>
      <c r="U759" s="545">
        <f>H759+N759+T759</f>
        <v>6399.1155</v>
      </c>
      <c r="V759" s="1015">
        <f>U759*$U$4</f>
        <v>8628.212509245524</v>
      </c>
    </row>
    <row r="760" spans="1:22" ht="12.75" customHeight="1">
      <c r="A760" s="1010"/>
      <c r="B760" s="1029"/>
      <c r="C760" s="1052"/>
      <c r="D760" s="1078"/>
      <c r="E760" s="413"/>
      <c r="F760" s="412"/>
      <c r="G760" s="414"/>
      <c r="H760" s="1057"/>
      <c r="I760" s="1002"/>
      <c r="J760" s="412"/>
      <c r="K760" s="414"/>
      <c r="L760" s="412"/>
      <c r="M760" s="412"/>
      <c r="N760" s="1091"/>
      <c r="O760" s="1002"/>
      <c r="P760" s="412"/>
      <c r="Q760" s="412"/>
      <c r="R760" s="412"/>
      <c r="S760" s="412"/>
      <c r="T760" s="514"/>
      <c r="U760" s="507"/>
      <c r="V760" s="1015"/>
    </row>
    <row r="761" spans="1:22" ht="26.25" customHeight="1">
      <c r="A761" s="1010">
        <v>9</v>
      </c>
      <c r="B761" s="1029" t="s">
        <v>1141</v>
      </c>
      <c r="C761" s="1052"/>
      <c r="D761" s="1084" t="s">
        <v>2041</v>
      </c>
      <c r="E761" s="413" t="s">
        <v>2373</v>
      </c>
      <c r="F761" s="412">
        <v>1</v>
      </c>
      <c r="G761" s="414">
        <v>290</v>
      </c>
      <c r="H761" s="1059">
        <f>F761*G761</f>
        <v>290</v>
      </c>
      <c r="I761" s="1002" t="s">
        <v>1945</v>
      </c>
      <c r="J761" s="412">
        <v>1</v>
      </c>
      <c r="K761" s="414">
        <v>1</v>
      </c>
      <c r="L761" s="415">
        <f>L746</f>
        <v>15.457749999999999</v>
      </c>
      <c r="M761" s="412">
        <v>0.5</v>
      </c>
      <c r="N761" s="1090">
        <f>K761*L761/M761</f>
        <v>30.915499999999998</v>
      </c>
      <c r="O761" s="1002" t="s">
        <v>277</v>
      </c>
      <c r="P761" s="412">
        <v>4</v>
      </c>
      <c r="Q761" s="412">
        <v>1</v>
      </c>
      <c r="R761" s="412">
        <v>0.4</v>
      </c>
      <c r="S761" s="412">
        <v>0.5</v>
      </c>
      <c r="T761" s="515">
        <f>P761*Q761*R761/S761</f>
        <v>3.2</v>
      </c>
      <c r="U761" s="507"/>
      <c r="V761" s="1015"/>
    </row>
    <row r="762" spans="1:22" ht="26.25" customHeight="1">
      <c r="A762" s="1010"/>
      <c r="B762" s="1029"/>
      <c r="C762" s="1052"/>
      <c r="D762" s="1084" t="s">
        <v>2569</v>
      </c>
      <c r="E762" s="413" t="s">
        <v>2373</v>
      </c>
      <c r="F762" s="412">
        <v>1</v>
      </c>
      <c r="G762" s="414">
        <v>60</v>
      </c>
      <c r="H762" s="1059">
        <f aca="true" t="shared" si="20" ref="H762:H767">F762*G762</f>
        <v>60</v>
      </c>
      <c r="I762" s="1002" t="s">
        <v>1948</v>
      </c>
      <c r="J762" s="412">
        <v>1</v>
      </c>
      <c r="K762" s="414">
        <v>1</v>
      </c>
      <c r="L762" s="415">
        <f>L747</f>
        <v>4.375</v>
      </c>
      <c r="M762" s="412">
        <v>0.5</v>
      </c>
      <c r="N762" s="1090">
        <f>K762*L762/M762</f>
        <v>8.75</v>
      </c>
      <c r="O762" s="1002"/>
      <c r="P762" s="412"/>
      <c r="Q762" s="412"/>
      <c r="R762" s="412"/>
      <c r="S762" s="412"/>
      <c r="T762" s="514"/>
      <c r="U762" s="507"/>
      <c r="V762" s="1015"/>
    </row>
    <row r="763" spans="1:22" ht="27" customHeight="1">
      <c r="A763" s="1010"/>
      <c r="B763" s="1029"/>
      <c r="C763" s="1052"/>
      <c r="D763" s="1084" t="s">
        <v>2796</v>
      </c>
      <c r="E763" s="413" t="s">
        <v>2373</v>
      </c>
      <c r="F763" s="412">
        <v>6</v>
      </c>
      <c r="G763" s="414">
        <v>60</v>
      </c>
      <c r="H763" s="1059">
        <f t="shared" si="20"/>
        <v>360</v>
      </c>
      <c r="I763" s="1002" t="s">
        <v>812</v>
      </c>
      <c r="J763" s="412">
        <v>1</v>
      </c>
      <c r="K763" s="414">
        <v>0.5</v>
      </c>
      <c r="L763" s="415">
        <f>L748</f>
        <v>26.25</v>
      </c>
      <c r="M763" s="412">
        <v>0.5</v>
      </c>
      <c r="N763" s="1090">
        <f>K763*L763/M763</f>
        <v>26.25</v>
      </c>
      <c r="O763" s="1002"/>
      <c r="P763" s="412"/>
      <c r="Q763" s="412"/>
      <c r="R763" s="412"/>
      <c r="S763" s="412"/>
      <c r="T763" s="514"/>
      <c r="U763" s="507"/>
      <c r="V763" s="1015"/>
    </row>
    <row r="764" spans="1:22" ht="26.25" customHeight="1">
      <c r="A764" s="1010"/>
      <c r="B764" s="1029"/>
      <c r="C764" s="1052"/>
      <c r="D764" s="1084" t="s">
        <v>2042</v>
      </c>
      <c r="E764" s="413" t="s">
        <v>2373</v>
      </c>
      <c r="F764" s="412">
        <v>3</v>
      </c>
      <c r="G764" s="414">
        <v>60</v>
      </c>
      <c r="H764" s="1059">
        <f t="shared" si="20"/>
        <v>180</v>
      </c>
      <c r="I764" s="1002"/>
      <c r="J764" s="412"/>
      <c r="K764" s="414"/>
      <c r="L764" s="412"/>
      <c r="M764" s="412"/>
      <c r="N764" s="1091"/>
      <c r="O764" s="1002"/>
      <c r="P764" s="412"/>
      <c r="Q764" s="412"/>
      <c r="R764" s="412"/>
      <c r="S764" s="412"/>
      <c r="T764" s="514"/>
      <c r="U764" s="507"/>
      <c r="V764" s="1015"/>
    </row>
    <row r="765" spans="1:22" ht="35.25" customHeight="1">
      <c r="A765" s="1010"/>
      <c r="B765" s="1029"/>
      <c r="C765" s="1052"/>
      <c r="D765" s="1084" t="s">
        <v>2544</v>
      </c>
      <c r="E765" s="413" t="s">
        <v>2373</v>
      </c>
      <c r="F765" s="412">
        <v>1</v>
      </c>
      <c r="G765" s="414">
        <v>290</v>
      </c>
      <c r="H765" s="1059">
        <f t="shared" si="20"/>
        <v>290</v>
      </c>
      <c r="I765" s="1002"/>
      <c r="J765" s="412"/>
      <c r="K765" s="414"/>
      <c r="L765" s="412"/>
      <c r="M765" s="412"/>
      <c r="N765" s="1091"/>
      <c r="O765" s="1002"/>
      <c r="P765" s="412"/>
      <c r="Q765" s="412"/>
      <c r="R765" s="412"/>
      <c r="S765" s="412"/>
      <c r="T765" s="514"/>
      <c r="U765" s="507"/>
      <c r="V765" s="1015"/>
    </row>
    <row r="766" spans="1:22" ht="12" customHeight="1">
      <c r="A766" s="1010"/>
      <c r="B766" s="1029"/>
      <c r="C766" s="1052"/>
      <c r="D766" s="1084" t="s">
        <v>2537</v>
      </c>
      <c r="E766" s="413"/>
      <c r="F766" s="412"/>
      <c r="G766" s="414"/>
      <c r="H766" s="1059"/>
      <c r="I766" s="1002"/>
      <c r="J766" s="412"/>
      <c r="K766" s="414"/>
      <c r="L766" s="412"/>
      <c r="M766" s="412"/>
      <c r="N766" s="1091"/>
      <c r="O766" s="1002"/>
      <c r="P766" s="412"/>
      <c r="Q766" s="412"/>
      <c r="R766" s="412"/>
      <c r="S766" s="412"/>
      <c r="T766" s="514"/>
      <c r="U766" s="507"/>
      <c r="V766" s="1015"/>
    </row>
    <row r="767" spans="1:22" ht="12.75" customHeight="1">
      <c r="A767" s="1010"/>
      <c r="B767" s="1029"/>
      <c r="C767" s="1052"/>
      <c r="D767" s="1078" t="s">
        <v>1136</v>
      </c>
      <c r="E767" s="413" t="s">
        <v>2373</v>
      </c>
      <c r="F767" s="412">
        <v>1</v>
      </c>
      <c r="G767" s="414">
        <v>500</v>
      </c>
      <c r="H767" s="1059">
        <f t="shared" si="20"/>
        <v>500</v>
      </c>
      <c r="I767" s="1002"/>
      <c r="J767" s="412"/>
      <c r="K767" s="414"/>
      <c r="L767" s="412"/>
      <c r="M767" s="412"/>
      <c r="N767" s="1091"/>
      <c r="O767" s="1002"/>
      <c r="P767" s="412"/>
      <c r="Q767" s="412"/>
      <c r="R767" s="412"/>
      <c r="S767" s="412"/>
      <c r="T767" s="514"/>
      <c r="U767" s="507"/>
      <c r="V767" s="1015"/>
    </row>
    <row r="768" spans="1:22" ht="13.5" customHeight="1">
      <c r="A768" s="1014"/>
      <c r="B768" s="1033"/>
      <c r="C768" s="1053"/>
      <c r="D768" s="1083"/>
      <c r="E768" s="544"/>
      <c r="F768" s="545"/>
      <c r="G768" s="545"/>
      <c r="H768" s="1015">
        <f>SUM(H761:H767)</f>
        <v>1680</v>
      </c>
      <c r="I768" s="1017"/>
      <c r="J768" s="545"/>
      <c r="K768" s="545"/>
      <c r="L768" s="545"/>
      <c r="M768" s="545"/>
      <c r="N768" s="1015">
        <f>SUM(N761:N767)</f>
        <v>65.9155</v>
      </c>
      <c r="O768" s="1017"/>
      <c r="P768" s="545"/>
      <c r="Q768" s="545"/>
      <c r="R768" s="545"/>
      <c r="S768" s="545"/>
      <c r="T768" s="545">
        <f>SUM(T761:T767)</f>
        <v>3.2</v>
      </c>
      <c r="U768" s="545">
        <f>H768+N768+T768</f>
        <v>1749.1155</v>
      </c>
      <c r="V768" s="1015">
        <f>U768*$U$4</f>
        <v>2358.410351745525</v>
      </c>
    </row>
    <row r="769" spans="1:22" ht="12.75">
      <c r="A769" s="1010"/>
      <c r="B769" s="1029"/>
      <c r="C769" s="1052"/>
      <c r="D769" s="1080"/>
      <c r="E769" s="413"/>
      <c r="F769" s="412"/>
      <c r="G769" s="414"/>
      <c r="H769" s="1057"/>
      <c r="I769" s="1002"/>
      <c r="J769" s="412"/>
      <c r="K769" s="414"/>
      <c r="L769" s="412"/>
      <c r="M769" s="412"/>
      <c r="N769" s="1091"/>
      <c r="O769" s="1002"/>
      <c r="P769" s="412"/>
      <c r="Q769" s="412"/>
      <c r="R769" s="412"/>
      <c r="S769" s="412"/>
      <c r="T769" s="514"/>
      <c r="U769" s="507"/>
      <c r="V769" s="1015"/>
    </row>
    <row r="770" spans="1:22" ht="27" customHeight="1">
      <c r="A770" s="1010">
        <v>10</v>
      </c>
      <c r="B770" s="1029" t="s">
        <v>1141</v>
      </c>
      <c r="C770" s="1052"/>
      <c r="D770" s="1084" t="s">
        <v>678</v>
      </c>
      <c r="E770" s="413" t="s">
        <v>2373</v>
      </c>
      <c r="F770" s="412">
        <v>1</v>
      </c>
      <c r="G770" s="414">
        <v>7500</v>
      </c>
      <c r="H770" s="1059">
        <f>F770*G770</f>
        <v>7500</v>
      </c>
      <c r="I770" s="1002" t="s">
        <v>1945</v>
      </c>
      <c r="J770" s="412">
        <v>1</v>
      </c>
      <c r="K770" s="414">
        <v>1</v>
      </c>
      <c r="L770" s="415">
        <f>L761</f>
        <v>15.457749999999999</v>
      </c>
      <c r="M770" s="412">
        <v>0.05</v>
      </c>
      <c r="N770" s="1090">
        <f>K770*L770/M770</f>
        <v>309.155</v>
      </c>
      <c r="O770" s="1002" t="s">
        <v>277</v>
      </c>
      <c r="P770" s="412">
        <v>4</v>
      </c>
      <c r="Q770" s="412">
        <v>1</v>
      </c>
      <c r="R770" s="412">
        <v>0.4</v>
      </c>
      <c r="S770" s="412">
        <v>0.05</v>
      </c>
      <c r="T770" s="515">
        <f>P770*Q770*R770/S770</f>
        <v>32</v>
      </c>
      <c r="U770" s="507"/>
      <c r="V770" s="1015"/>
    </row>
    <row r="771" spans="1:22" ht="24.75">
      <c r="A771" s="1010"/>
      <c r="B771" s="1029"/>
      <c r="C771" s="1052"/>
      <c r="D771" s="1084" t="s">
        <v>679</v>
      </c>
      <c r="E771" s="413" t="s">
        <v>2373</v>
      </c>
      <c r="F771" s="412">
        <v>1</v>
      </c>
      <c r="G771" s="414">
        <v>5200</v>
      </c>
      <c r="H771" s="1059">
        <f aca="true" t="shared" si="21" ref="H771:H780">F771*G771</f>
        <v>5200</v>
      </c>
      <c r="I771" s="1002" t="s">
        <v>1948</v>
      </c>
      <c r="J771" s="412">
        <v>1</v>
      </c>
      <c r="K771" s="414">
        <v>1</v>
      </c>
      <c r="L771" s="415">
        <f>L762</f>
        <v>4.375</v>
      </c>
      <c r="M771" s="412">
        <v>0.05</v>
      </c>
      <c r="N771" s="1090">
        <f>K771*L771/M771</f>
        <v>87.5</v>
      </c>
      <c r="O771" s="1002"/>
      <c r="P771" s="412"/>
      <c r="Q771" s="412"/>
      <c r="R771" s="412"/>
      <c r="S771" s="412"/>
      <c r="T771" s="514"/>
      <c r="U771" s="507"/>
      <c r="V771" s="1015"/>
    </row>
    <row r="772" spans="1:22" ht="24.75">
      <c r="A772" s="1010"/>
      <c r="B772" s="1029"/>
      <c r="C772" s="1052"/>
      <c r="D772" s="1084" t="s">
        <v>680</v>
      </c>
      <c r="E772" s="413" t="s">
        <v>2373</v>
      </c>
      <c r="F772" s="412">
        <v>1</v>
      </c>
      <c r="G772" s="414">
        <v>2551</v>
      </c>
      <c r="H772" s="1059">
        <f t="shared" si="21"/>
        <v>2551</v>
      </c>
      <c r="I772" s="1002" t="s">
        <v>812</v>
      </c>
      <c r="J772" s="412">
        <v>1</v>
      </c>
      <c r="K772" s="414">
        <v>0.5</v>
      </c>
      <c r="L772" s="415">
        <f>L763</f>
        <v>26.25</v>
      </c>
      <c r="M772" s="412">
        <v>0.05</v>
      </c>
      <c r="N772" s="1090">
        <f>K772*L772/M772</f>
        <v>262.5</v>
      </c>
      <c r="O772" s="1002"/>
      <c r="P772" s="412"/>
      <c r="Q772" s="412"/>
      <c r="R772" s="412"/>
      <c r="S772" s="412"/>
      <c r="T772" s="514"/>
      <c r="U772" s="507"/>
      <c r="V772" s="1015"/>
    </row>
    <row r="773" spans="1:22" ht="24.75">
      <c r="A773" s="1010"/>
      <c r="B773" s="1029"/>
      <c r="C773" s="1052"/>
      <c r="D773" s="1084" t="s">
        <v>681</v>
      </c>
      <c r="E773" s="413" t="s">
        <v>2373</v>
      </c>
      <c r="F773" s="412">
        <v>1</v>
      </c>
      <c r="G773" s="414">
        <v>1180</v>
      </c>
      <c r="H773" s="1059">
        <f t="shared" si="21"/>
        <v>1180</v>
      </c>
      <c r="I773" s="1002"/>
      <c r="J773" s="412"/>
      <c r="K773" s="414"/>
      <c r="L773" s="412"/>
      <c r="M773" s="412"/>
      <c r="N773" s="1091"/>
      <c r="O773" s="1002"/>
      <c r="P773" s="412"/>
      <c r="Q773" s="412"/>
      <c r="R773" s="412"/>
      <c r="S773" s="412"/>
      <c r="T773" s="514"/>
      <c r="U773" s="507"/>
      <c r="V773" s="1015"/>
    </row>
    <row r="774" spans="1:22" ht="17.25" customHeight="1">
      <c r="A774" s="1010"/>
      <c r="B774" s="1029"/>
      <c r="C774" s="1052"/>
      <c r="D774" s="1084" t="s">
        <v>682</v>
      </c>
      <c r="E774" s="413" t="s">
        <v>2373</v>
      </c>
      <c r="F774" s="412">
        <v>1</v>
      </c>
      <c r="G774" s="414">
        <v>180</v>
      </c>
      <c r="H774" s="1059">
        <f t="shared" si="21"/>
        <v>180</v>
      </c>
      <c r="I774" s="1002"/>
      <c r="J774" s="412"/>
      <c r="K774" s="414"/>
      <c r="L774" s="412"/>
      <c r="M774" s="412"/>
      <c r="N774" s="1091"/>
      <c r="O774" s="1002"/>
      <c r="P774" s="412"/>
      <c r="Q774" s="412"/>
      <c r="R774" s="412"/>
      <c r="S774" s="412"/>
      <c r="T774" s="514"/>
      <c r="U774" s="507"/>
      <c r="V774" s="1015"/>
    </row>
    <row r="775" spans="1:22" ht="18.75" customHeight="1">
      <c r="A775" s="1010"/>
      <c r="B775" s="1029"/>
      <c r="C775" s="1052"/>
      <c r="D775" s="1084" t="s">
        <v>683</v>
      </c>
      <c r="E775" s="413" t="s">
        <v>2373</v>
      </c>
      <c r="F775" s="412">
        <v>3</v>
      </c>
      <c r="G775" s="414">
        <v>4500</v>
      </c>
      <c r="H775" s="1059">
        <f t="shared" si="21"/>
        <v>13500</v>
      </c>
      <c r="I775" s="1002"/>
      <c r="J775" s="412"/>
      <c r="K775" s="414"/>
      <c r="L775" s="412"/>
      <c r="M775" s="412"/>
      <c r="N775" s="1091"/>
      <c r="O775" s="1002"/>
      <c r="P775" s="412"/>
      <c r="Q775" s="412"/>
      <c r="R775" s="412"/>
      <c r="S775" s="412"/>
      <c r="T775" s="514"/>
      <c r="U775" s="507"/>
      <c r="V775" s="1015"/>
    </row>
    <row r="776" spans="1:22" ht="26.25" customHeight="1">
      <c r="A776" s="1010"/>
      <c r="B776" s="1029"/>
      <c r="C776" s="1052"/>
      <c r="D776" s="1084" t="s">
        <v>684</v>
      </c>
      <c r="E776" s="413" t="s">
        <v>2373</v>
      </c>
      <c r="F776" s="412">
        <v>3</v>
      </c>
      <c r="G776" s="414">
        <v>5200</v>
      </c>
      <c r="H776" s="1059">
        <f t="shared" si="21"/>
        <v>15600</v>
      </c>
      <c r="I776" s="1002"/>
      <c r="J776" s="412"/>
      <c r="K776" s="414"/>
      <c r="L776" s="412"/>
      <c r="M776" s="412"/>
      <c r="N776" s="1091"/>
      <c r="O776" s="1002"/>
      <c r="P776" s="412"/>
      <c r="Q776" s="412"/>
      <c r="R776" s="412"/>
      <c r="S776" s="412"/>
      <c r="T776" s="514"/>
      <c r="U776" s="507"/>
      <c r="V776" s="1015"/>
    </row>
    <row r="777" spans="1:22" ht="26.25" customHeight="1">
      <c r="A777" s="1010"/>
      <c r="B777" s="1029"/>
      <c r="C777" s="1052"/>
      <c r="D777" s="1084" t="s">
        <v>685</v>
      </c>
      <c r="E777" s="413" t="s">
        <v>2373</v>
      </c>
      <c r="F777" s="412">
        <v>1</v>
      </c>
      <c r="G777" s="414">
        <v>1500</v>
      </c>
      <c r="H777" s="1059">
        <f t="shared" si="21"/>
        <v>1500</v>
      </c>
      <c r="I777" s="1002"/>
      <c r="J777" s="412"/>
      <c r="K777" s="414"/>
      <c r="L777" s="412"/>
      <c r="M777" s="412"/>
      <c r="N777" s="1091"/>
      <c r="O777" s="1002"/>
      <c r="P777" s="412"/>
      <c r="Q777" s="412"/>
      <c r="R777" s="412"/>
      <c r="S777" s="412"/>
      <c r="T777" s="514"/>
      <c r="U777" s="507"/>
      <c r="V777" s="1015"/>
    </row>
    <row r="778" spans="1:22" ht="18" customHeight="1">
      <c r="A778" s="1010"/>
      <c r="B778" s="1029"/>
      <c r="C778" s="1052"/>
      <c r="D778" s="1084" t="s">
        <v>686</v>
      </c>
      <c r="E778" s="413"/>
      <c r="F778" s="412">
        <v>1</v>
      </c>
      <c r="G778" s="414">
        <v>1000</v>
      </c>
      <c r="H778" s="1059">
        <f t="shared" si="21"/>
        <v>1000</v>
      </c>
      <c r="I778" s="1002"/>
      <c r="J778" s="412"/>
      <c r="K778" s="414"/>
      <c r="L778" s="412"/>
      <c r="M778" s="412"/>
      <c r="N778" s="1091"/>
      <c r="O778" s="1002"/>
      <c r="P778" s="412"/>
      <c r="Q778" s="412"/>
      <c r="R778" s="412"/>
      <c r="S778" s="412"/>
      <c r="T778" s="514"/>
      <c r="U778" s="507"/>
      <c r="V778" s="1015"/>
    </row>
    <row r="779" spans="1:22" ht="18" customHeight="1">
      <c r="A779" s="1010"/>
      <c r="B779" s="1029"/>
      <c r="C779" s="1052"/>
      <c r="D779" s="1084" t="s">
        <v>1252</v>
      </c>
      <c r="E779" s="413" t="s">
        <v>2373</v>
      </c>
      <c r="F779" s="412">
        <v>1</v>
      </c>
      <c r="G779" s="414">
        <v>4500</v>
      </c>
      <c r="H779" s="1059">
        <f t="shared" si="21"/>
        <v>4500</v>
      </c>
      <c r="I779" s="1002"/>
      <c r="J779" s="412"/>
      <c r="K779" s="414"/>
      <c r="L779" s="412"/>
      <c r="M779" s="412"/>
      <c r="N779" s="1091"/>
      <c r="O779" s="1002"/>
      <c r="P779" s="412"/>
      <c r="Q779" s="412"/>
      <c r="R779" s="412"/>
      <c r="S779" s="412"/>
      <c r="T779" s="514"/>
      <c r="U779" s="507"/>
      <c r="V779" s="1015"/>
    </row>
    <row r="780" spans="1:22" ht="12.75" customHeight="1">
      <c r="A780" s="1010"/>
      <c r="B780" s="1029"/>
      <c r="C780" s="1052"/>
      <c r="D780" s="1080" t="s">
        <v>1136</v>
      </c>
      <c r="E780" s="413" t="s">
        <v>2373</v>
      </c>
      <c r="F780" s="412">
        <v>1</v>
      </c>
      <c r="G780" s="414">
        <v>5500</v>
      </c>
      <c r="H780" s="1059">
        <f t="shared" si="21"/>
        <v>5500</v>
      </c>
      <c r="I780" s="1002"/>
      <c r="J780" s="412"/>
      <c r="K780" s="414"/>
      <c r="L780" s="412"/>
      <c r="M780" s="412"/>
      <c r="N780" s="1091"/>
      <c r="O780" s="1002"/>
      <c r="P780" s="412"/>
      <c r="Q780" s="412"/>
      <c r="R780" s="412"/>
      <c r="S780" s="412"/>
      <c r="T780" s="514"/>
      <c r="U780" s="507"/>
      <c r="V780" s="1015"/>
    </row>
    <row r="781" spans="1:22" ht="10.5" customHeight="1">
      <c r="A781" s="1014"/>
      <c r="B781" s="1033"/>
      <c r="C781" s="1053"/>
      <c r="D781" s="1081"/>
      <c r="E781" s="544"/>
      <c r="F781" s="545"/>
      <c r="G781" s="545"/>
      <c r="H781" s="1015">
        <f>SUM(H770:H780)</f>
        <v>58211</v>
      </c>
      <c r="I781" s="1017"/>
      <c r="J781" s="545"/>
      <c r="K781" s="545"/>
      <c r="L781" s="545"/>
      <c r="M781" s="545"/>
      <c r="N781" s="1015">
        <f>SUM(N770:N780)</f>
        <v>659.155</v>
      </c>
      <c r="O781" s="1017"/>
      <c r="P781" s="545"/>
      <c r="Q781" s="545"/>
      <c r="R781" s="545"/>
      <c r="S781" s="545"/>
      <c r="T781" s="545">
        <f>SUM(T770:T780)</f>
        <v>32</v>
      </c>
      <c r="U781" s="545">
        <f>H781+N781+T781</f>
        <v>58902.155</v>
      </c>
      <c r="V781" s="1015">
        <f>U781*$U$4</f>
        <v>79420.39967750525</v>
      </c>
    </row>
    <row r="782" spans="1:22" ht="10.5" customHeight="1">
      <c r="A782" s="1010"/>
      <c r="B782" s="1029"/>
      <c r="C782" s="1052"/>
      <c r="D782" s="1010"/>
      <c r="E782" s="413"/>
      <c r="F782" s="412"/>
      <c r="G782" s="414"/>
      <c r="H782" s="1057"/>
      <c r="I782" s="1002"/>
      <c r="J782" s="412"/>
      <c r="K782" s="414"/>
      <c r="L782" s="412"/>
      <c r="M782" s="412"/>
      <c r="N782" s="1091"/>
      <c r="O782" s="1002"/>
      <c r="P782" s="412"/>
      <c r="Q782" s="412"/>
      <c r="R782" s="412"/>
      <c r="S782" s="412"/>
      <c r="T782" s="514"/>
      <c r="U782" s="507"/>
      <c r="V782" s="1015"/>
    </row>
    <row r="783" spans="1:22" ht="10.5" customHeight="1">
      <c r="A783" s="1010">
        <v>11</v>
      </c>
      <c r="B783" s="1029" t="s">
        <v>328</v>
      </c>
      <c r="C783" s="1052"/>
      <c r="D783" s="1010" t="s">
        <v>329</v>
      </c>
      <c r="E783" s="413" t="s">
        <v>2557</v>
      </c>
      <c r="F783" s="414">
        <v>4.8</v>
      </c>
      <c r="G783" s="414">
        <f>3*2</f>
        <v>6</v>
      </c>
      <c r="H783" s="1059">
        <f>F783*G783</f>
        <v>28.799999999999997</v>
      </c>
      <c r="I783" s="1002" t="s">
        <v>1945</v>
      </c>
      <c r="J783" s="412">
        <v>1</v>
      </c>
      <c r="K783" s="414">
        <v>1</v>
      </c>
      <c r="L783" s="415">
        <f>'[1]Labour Cost'!E12</f>
        <v>7.9875</v>
      </c>
      <c r="M783" s="412">
        <v>1</v>
      </c>
      <c r="N783" s="1090">
        <f>K783*L783/M783</f>
        <v>7.9875</v>
      </c>
      <c r="O783" s="1002" t="s">
        <v>277</v>
      </c>
      <c r="P783" s="412">
        <v>4</v>
      </c>
      <c r="Q783" s="412">
        <v>1</v>
      </c>
      <c r="R783" s="412">
        <v>0.4</v>
      </c>
      <c r="S783" s="412">
        <v>1</v>
      </c>
      <c r="T783" s="515">
        <f>P783*Q783*R783/S783</f>
        <v>1.6</v>
      </c>
      <c r="U783" s="507"/>
      <c r="V783" s="1015"/>
    </row>
    <row r="784" spans="1:22" ht="10.5" customHeight="1">
      <c r="A784" s="1010"/>
      <c r="B784" s="1029" t="s">
        <v>1946</v>
      </c>
      <c r="C784" s="1052"/>
      <c r="D784" s="1010" t="s">
        <v>1947</v>
      </c>
      <c r="E784" s="413" t="s">
        <v>2557</v>
      </c>
      <c r="F784" s="414">
        <v>9.4</v>
      </c>
      <c r="G784" s="414">
        <f>7*2</f>
        <v>14</v>
      </c>
      <c r="H784" s="1059">
        <f>F784*G784</f>
        <v>131.6</v>
      </c>
      <c r="I784" s="1002" t="s">
        <v>1948</v>
      </c>
      <c r="J784" s="412">
        <v>1</v>
      </c>
      <c r="K784" s="414">
        <v>1</v>
      </c>
      <c r="L784" s="415">
        <f>'[1]Labour Cost'!E15</f>
        <v>3.55</v>
      </c>
      <c r="M784" s="412">
        <v>1</v>
      </c>
      <c r="N784" s="1090">
        <f>K784*L784/M784</f>
        <v>3.55</v>
      </c>
      <c r="O784" s="1002"/>
      <c r="P784" s="412"/>
      <c r="Q784" s="412"/>
      <c r="R784" s="412"/>
      <c r="S784" s="412"/>
      <c r="T784" s="514"/>
      <c r="U784" s="507"/>
      <c r="V784" s="1015"/>
    </row>
    <row r="785" spans="1:22" ht="10.5" customHeight="1">
      <c r="A785" s="1010"/>
      <c r="B785" s="1029"/>
      <c r="C785" s="1052"/>
      <c r="D785" s="1010" t="s">
        <v>1949</v>
      </c>
      <c r="E785" s="413" t="s">
        <v>1842</v>
      </c>
      <c r="F785" s="414">
        <v>0.5</v>
      </c>
      <c r="G785" s="414">
        <f>1*2</f>
        <v>2</v>
      </c>
      <c r="H785" s="1059">
        <f>F785*G785</f>
        <v>1</v>
      </c>
      <c r="I785" s="1002" t="s">
        <v>812</v>
      </c>
      <c r="J785" s="412">
        <v>1</v>
      </c>
      <c r="K785" s="414">
        <v>0.5</v>
      </c>
      <c r="L785" s="415">
        <f>'[1]Labour Cost'!E7</f>
        <v>3.55</v>
      </c>
      <c r="M785" s="412">
        <v>1</v>
      </c>
      <c r="N785" s="1090">
        <f>K785*L785/M785</f>
        <v>1.775</v>
      </c>
      <c r="O785" s="1002"/>
      <c r="P785" s="412"/>
      <c r="Q785" s="412"/>
      <c r="R785" s="412"/>
      <c r="S785" s="412"/>
      <c r="T785" s="514"/>
      <c r="U785" s="507"/>
      <c r="V785" s="1015"/>
    </row>
    <row r="786" spans="1:22" ht="10.5" customHeight="1">
      <c r="A786" s="1010"/>
      <c r="B786" s="1029"/>
      <c r="C786" s="1052"/>
      <c r="D786" s="1010" t="s">
        <v>1950</v>
      </c>
      <c r="E786" s="413" t="s">
        <v>1842</v>
      </c>
      <c r="F786" s="414">
        <v>1</v>
      </c>
      <c r="G786" s="414">
        <v>0.75</v>
      </c>
      <c r="H786" s="1059">
        <f>F786*G786</f>
        <v>0.75</v>
      </c>
      <c r="I786" s="1002"/>
      <c r="J786" s="412"/>
      <c r="K786" s="414"/>
      <c r="L786" s="412"/>
      <c r="M786" s="412"/>
      <c r="N786" s="1091"/>
      <c r="O786" s="1002"/>
      <c r="P786" s="412"/>
      <c r="Q786" s="412"/>
      <c r="R786" s="412"/>
      <c r="S786" s="412"/>
      <c r="T786" s="514"/>
      <c r="U786" s="507"/>
      <c r="V786" s="1015"/>
    </row>
    <row r="787" spans="1:22" ht="10.5" customHeight="1">
      <c r="A787" s="1014"/>
      <c r="B787" s="1033"/>
      <c r="C787" s="1053"/>
      <c r="D787" s="1014"/>
      <c r="E787" s="544"/>
      <c r="F787" s="522"/>
      <c r="G787" s="545"/>
      <c r="H787" s="1015">
        <f>SUM(H783:H786)</f>
        <v>162.14999999999998</v>
      </c>
      <c r="I787" s="1017"/>
      <c r="J787" s="545"/>
      <c r="K787" s="545"/>
      <c r="L787" s="545"/>
      <c r="M787" s="545"/>
      <c r="N787" s="1015">
        <f>SUM(N783:N786)</f>
        <v>13.3125</v>
      </c>
      <c r="O787" s="1017"/>
      <c r="P787" s="545"/>
      <c r="Q787" s="545"/>
      <c r="R787" s="545"/>
      <c r="S787" s="545"/>
      <c r="T787" s="545">
        <f>SUM(T783:T786)</f>
        <v>1.6</v>
      </c>
      <c r="U787" s="545">
        <f>T787+N787+H787</f>
        <v>177.06249999999997</v>
      </c>
      <c r="V787" s="1015">
        <f>U787*$U$4</f>
        <v>238.74125688437496</v>
      </c>
    </row>
    <row r="788" spans="1:22" ht="10.5" customHeight="1">
      <c r="A788" s="1010"/>
      <c r="B788" s="1029"/>
      <c r="C788" s="1052"/>
      <c r="D788" s="1010"/>
      <c r="E788" s="413"/>
      <c r="F788" s="414"/>
      <c r="G788" s="414"/>
      <c r="H788" s="1057"/>
      <c r="I788" s="1002"/>
      <c r="J788" s="412"/>
      <c r="K788" s="414"/>
      <c r="L788" s="412"/>
      <c r="M788" s="412"/>
      <c r="N788" s="1091"/>
      <c r="O788" s="1002"/>
      <c r="P788" s="412"/>
      <c r="Q788" s="412"/>
      <c r="R788" s="412"/>
      <c r="S788" s="412"/>
      <c r="T788" s="514"/>
      <c r="U788" s="507"/>
      <c r="V788" s="1015"/>
    </row>
    <row r="789" spans="1:22" ht="10.5" customHeight="1">
      <c r="A789" s="1010">
        <v>12</v>
      </c>
      <c r="B789" s="1029" t="s">
        <v>328</v>
      </c>
      <c r="C789" s="1052"/>
      <c r="D789" s="1010" t="s">
        <v>329</v>
      </c>
      <c r="E789" s="413" t="s">
        <v>2557</v>
      </c>
      <c r="F789" s="414">
        <v>22.7</v>
      </c>
      <c r="G789" s="414">
        <v>3</v>
      </c>
      <c r="H789" s="1057">
        <f>F789*G789</f>
        <v>68.1</v>
      </c>
      <c r="I789" s="1002" t="s">
        <v>1945</v>
      </c>
      <c r="J789" s="412">
        <v>1</v>
      </c>
      <c r="K789" s="414">
        <v>1</v>
      </c>
      <c r="L789" s="415">
        <f>'[1]Labour Cost'!E12</f>
        <v>7.9875</v>
      </c>
      <c r="M789" s="412">
        <v>0.5</v>
      </c>
      <c r="N789" s="1091">
        <f>K789*L789/M789</f>
        <v>15.975</v>
      </c>
      <c r="O789" s="1002" t="s">
        <v>277</v>
      </c>
      <c r="P789" s="412">
        <v>4</v>
      </c>
      <c r="Q789" s="412">
        <v>1</v>
      </c>
      <c r="R789" s="412">
        <v>0.4</v>
      </c>
      <c r="S789" s="412">
        <v>1</v>
      </c>
      <c r="T789" s="515">
        <f>P789*Q789*R789/S789</f>
        <v>1.6</v>
      </c>
      <c r="U789" s="507"/>
      <c r="V789" s="1015"/>
    </row>
    <row r="790" spans="1:22" ht="10.5" customHeight="1">
      <c r="A790" s="1010"/>
      <c r="B790" s="1029" t="s">
        <v>1951</v>
      </c>
      <c r="C790" s="1052"/>
      <c r="D790" s="1010" t="s">
        <v>1947</v>
      </c>
      <c r="E790" s="413" t="s">
        <v>2557</v>
      </c>
      <c r="F790" s="414">
        <v>20</v>
      </c>
      <c r="G790" s="414">
        <v>7</v>
      </c>
      <c r="H790" s="1057">
        <f>F790*G790</f>
        <v>140</v>
      </c>
      <c r="I790" s="1002" t="s">
        <v>1948</v>
      </c>
      <c r="J790" s="412">
        <v>1</v>
      </c>
      <c r="K790" s="414">
        <v>1</v>
      </c>
      <c r="L790" s="415">
        <f>'[1]Labour Cost'!E15</f>
        <v>3.55</v>
      </c>
      <c r="M790" s="412">
        <v>0.5</v>
      </c>
      <c r="N790" s="1091">
        <f>K790*L790/M790</f>
        <v>7.1</v>
      </c>
      <c r="O790" s="1002"/>
      <c r="P790" s="412"/>
      <c r="Q790" s="412"/>
      <c r="R790" s="412"/>
      <c r="S790" s="412"/>
      <c r="T790" s="514"/>
      <c r="U790" s="507"/>
      <c r="V790" s="1015"/>
    </row>
    <row r="791" spans="1:22" ht="12" customHeight="1">
      <c r="A791" s="1010"/>
      <c r="B791" s="1029"/>
      <c r="C791" s="1052"/>
      <c r="D791" s="1010" t="s">
        <v>1949</v>
      </c>
      <c r="E791" s="413" t="s">
        <v>1842</v>
      </c>
      <c r="F791" s="414">
        <v>1</v>
      </c>
      <c r="G791" s="414">
        <v>1</v>
      </c>
      <c r="H791" s="1057">
        <f>F791*G791</f>
        <v>1</v>
      </c>
      <c r="I791" s="1002" t="s">
        <v>812</v>
      </c>
      <c r="J791" s="412">
        <v>1</v>
      </c>
      <c r="K791" s="414">
        <v>0.5</v>
      </c>
      <c r="L791" s="415">
        <f>'[1]Labour Cost'!E7</f>
        <v>3.55</v>
      </c>
      <c r="M791" s="412">
        <v>0.5</v>
      </c>
      <c r="N791" s="1091">
        <f>K791*L791/M791</f>
        <v>3.55</v>
      </c>
      <c r="O791" s="1002"/>
      <c r="P791" s="412"/>
      <c r="Q791" s="412"/>
      <c r="R791" s="412"/>
      <c r="S791" s="412"/>
      <c r="T791" s="514"/>
      <c r="U791" s="507"/>
      <c r="V791" s="1015"/>
    </row>
    <row r="792" spans="1:22" ht="12" customHeight="1">
      <c r="A792" s="1010"/>
      <c r="B792" s="1029"/>
      <c r="C792" s="1052"/>
      <c r="D792" s="1010" t="s">
        <v>1950</v>
      </c>
      <c r="E792" s="413" t="s">
        <v>1842</v>
      </c>
      <c r="F792" s="414">
        <v>1</v>
      </c>
      <c r="G792" s="414">
        <v>0.75</v>
      </c>
      <c r="H792" s="1057">
        <f>F792*G792</f>
        <v>0.75</v>
      </c>
      <c r="I792" s="1002"/>
      <c r="J792" s="412"/>
      <c r="K792" s="414"/>
      <c r="L792" s="412"/>
      <c r="M792" s="412"/>
      <c r="N792" s="1091"/>
      <c r="O792" s="1002"/>
      <c r="P792" s="412"/>
      <c r="Q792" s="412"/>
      <c r="R792" s="412"/>
      <c r="S792" s="412"/>
      <c r="T792" s="514"/>
      <c r="U792" s="507"/>
      <c r="V792" s="1015"/>
    </row>
    <row r="793" spans="1:22" ht="12" customHeight="1">
      <c r="A793" s="1014"/>
      <c r="B793" s="1033"/>
      <c r="C793" s="1053"/>
      <c r="D793" s="1014"/>
      <c r="E793" s="544"/>
      <c r="F793" s="522"/>
      <c r="G793" s="545"/>
      <c r="H793" s="1015">
        <f>SUM(H789:H792)</f>
        <v>209.85</v>
      </c>
      <c r="I793" s="1017"/>
      <c r="J793" s="545"/>
      <c r="K793" s="545"/>
      <c r="L793" s="545"/>
      <c r="M793" s="545"/>
      <c r="N793" s="1015">
        <f>SUM(N789:N792)</f>
        <v>26.625</v>
      </c>
      <c r="O793" s="1017"/>
      <c r="P793" s="545"/>
      <c r="Q793" s="545"/>
      <c r="R793" s="545"/>
      <c r="S793" s="545"/>
      <c r="T793" s="545">
        <v>1.6</v>
      </c>
      <c r="U793" s="545">
        <f>T793+N793+H793</f>
        <v>238.075</v>
      </c>
      <c r="V793" s="1015">
        <f>U793*$U$4</f>
        <v>321.00712874124997</v>
      </c>
    </row>
    <row r="794" spans="1:22" ht="12" customHeight="1">
      <c r="A794" s="1010"/>
      <c r="B794" s="1029"/>
      <c r="C794" s="1052"/>
      <c r="D794" s="1010"/>
      <c r="E794" s="413"/>
      <c r="F794" s="414"/>
      <c r="G794" s="414"/>
      <c r="H794" s="1057"/>
      <c r="I794" s="1002"/>
      <c r="J794" s="412"/>
      <c r="K794" s="414"/>
      <c r="L794" s="412"/>
      <c r="M794" s="412"/>
      <c r="N794" s="1091"/>
      <c r="O794" s="1008"/>
      <c r="P794" s="420"/>
      <c r="Q794" s="420"/>
      <c r="R794" s="420"/>
      <c r="S794" s="420"/>
      <c r="T794" s="514"/>
      <c r="U794" s="507"/>
      <c r="V794" s="1015"/>
    </row>
    <row r="795" spans="1:22" ht="12" customHeight="1">
      <c r="A795" s="1010">
        <v>13</v>
      </c>
      <c r="B795" s="1029" t="s">
        <v>328</v>
      </c>
      <c r="C795" s="1052"/>
      <c r="D795" s="1010" t="s">
        <v>329</v>
      </c>
      <c r="E795" s="413" t="s">
        <v>2557</v>
      </c>
      <c r="F795" s="414">
        <v>3</v>
      </c>
      <c r="G795" s="414">
        <v>3</v>
      </c>
      <c r="H795" s="1059">
        <f>F795*G795</f>
        <v>9</v>
      </c>
      <c r="I795" s="1002" t="s">
        <v>1945</v>
      </c>
      <c r="J795" s="412">
        <v>1</v>
      </c>
      <c r="K795" s="414">
        <v>1</v>
      </c>
      <c r="L795" s="415">
        <f>'[1]Labour Cost'!E12</f>
        <v>7.9875</v>
      </c>
      <c r="M795" s="412">
        <v>1</v>
      </c>
      <c r="N795" s="1090">
        <f>K795*L795/M795</f>
        <v>7.9875</v>
      </c>
      <c r="O795" s="1002" t="s">
        <v>277</v>
      </c>
      <c r="P795" s="412">
        <v>4</v>
      </c>
      <c r="Q795" s="412">
        <v>1</v>
      </c>
      <c r="R795" s="412">
        <v>0.4</v>
      </c>
      <c r="S795" s="412">
        <v>1</v>
      </c>
      <c r="T795" s="515">
        <f>P795*Q795*R795/S795</f>
        <v>1.6</v>
      </c>
      <c r="U795" s="507"/>
      <c r="V795" s="1015"/>
    </row>
    <row r="796" spans="1:22" ht="12" customHeight="1">
      <c r="A796" s="1010"/>
      <c r="B796" s="1029" t="s">
        <v>1951</v>
      </c>
      <c r="C796" s="1052"/>
      <c r="D796" s="1010" t="s">
        <v>1947</v>
      </c>
      <c r="E796" s="413" t="s">
        <v>2557</v>
      </c>
      <c r="F796" s="414">
        <v>17.7</v>
      </c>
      <c r="G796" s="414">
        <v>7</v>
      </c>
      <c r="H796" s="1059">
        <f>F796*G796</f>
        <v>123.89999999999999</v>
      </c>
      <c r="I796" s="1002" t="s">
        <v>1948</v>
      </c>
      <c r="J796" s="412">
        <v>1</v>
      </c>
      <c r="K796" s="414">
        <v>1</v>
      </c>
      <c r="L796" s="415">
        <f>'[1]Labour Cost'!E15</f>
        <v>3.55</v>
      </c>
      <c r="M796" s="412">
        <v>1</v>
      </c>
      <c r="N796" s="1090">
        <f>K796*L796/M796</f>
        <v>3.55</v>
      </c>
      <c r="O796" s="1002"/>
      <c r="P796" s="412"/>
      <c r="Q796" s="412"/>
      <c r="R796" s="412"/>
      <c r="S796" s="412"/>
      <c r="T796" s="514"/>
      <c r="U796" s="507"/>
      <c r="V796" s="1015"/>
    </row>
    <row r="797" spans="1:22" ht="12" customHeight="1">
      <c r="A797" s="1010"/>
      <c r="B797" s="1029" t="s">
        <v>1952</v>
      </c>
      <c r="C797" s="1052"/>
      <c r="D797" s="1010" t="s">
        <v>1949</v>
      </c>
      <c r="E797" s="413" t="s">
        <v>1842</v>
      </c>
      <c r="F797" s="414">
        <v>1</v>
      </c>
      <c r="G797" s="414">
        <v>1</v>
      </c>
      <c r="H797" s="1059">
        <f>F797*G797</f>
        <v>1</v>
      </c>
      <c r="I797" s="1002" t="s">
        <v>812</v>
      </c>
      <c r="J797" s="412">
        <v>1</v>
      </c>
      <c r="K797" s="414">
        <v>0.5</v>
      </c>
      <c r="L797" s="415">
        <f>'[1]Labour Cost'!E7</f>
        <v>3.55</v>
      </c>
      <c r="M797" s="412">
        <v>1</v>
      </c>
      <c r="N797" s="1090">
        <f>K797*L797/M797</f>
        <v>1.775</v>
      </c>
      <c r="O797" s="1002"/>
      <c r="P797" s="412"/>
      <c r="Q797" s="412"/>
      <c r="R797" s="412"/>
      <c r="S797" s="412"/>
      <c r="T797" s="514"/>
      <c r="U797" s="507"/>
      <c r="V797" s="1015"/>
    </row>
    <row r="798" spans="1:22" ht="12" customHeight="1">
      <c r="A798" s="1010"/>
      <c r="B798" s="1029"/>
      <c r="C798" s="1052"/>
      <c r="D798" s="1010" t="s">
        <v>1950</v>
      </c>
      <c r="E798" s="413" t="s">
        <v>1842</v>
      </c>
      <c r="F798" s="414">
        <v>1</v>
      </c>
      <c r="G798" s="414">
        <v>0.75</v>
      </c>
      <c r="H798" s="1059">
        <f>F798*G798</f>
        <v>0.75</v>
      </c>
      <c r="I798" s="1002"/>
      <c r="J798" s="412"/>
      <c r="K798" s="414"/>
      <c r="L798" s="412"/>
      <c r="M798" s="412"/>
      <c r="N798" s="1091"/>
      <c r="O798" s="1002"/>
      <c r="P798" s="412"/>
      <c r="Q798" s="412"/>
      <c r="R798" s="412"/>
      <c r="S798" s="412"/>
      <c r="T798" s="514"/>
      <c r="U798" s="507"/>
      <c r="V798" s="1015"/>
    </row>
    <row r="799" spans="1:22" ht="12" customHeight="1">
      <c r="A799" s="1014"/>
      <c r="B799" s="1033"/>
      <c r="C799" s="1053"/>
      <c r="D799" s="1014"/>
      <c r="E799" s="544"/>
      <c r="F799" s="522"/>
      <c r="G799" s="545"/>
      <c r="H799" s="1015">
        <f>SUM(H795:H798)</f>
        <v>134.64999999999998</v>
      </c>
      <c r="I799" s="1017"/>
      <c r="J799" s="545"/>
      <c r="K799" s="545"/>
      <c r="L799" s="545"/>
      <c r="M799" s="545"/>
      <c r="N799" s="1015">
        <f>SUM(N795:N798)</f>
        <v>13.3125</v>
      </c>
      <c r="O799" s="1017"/>
      <c r="P799" s="545"/>
      <c r="Q799" s="545"/>
      <c r="R799" s="545"/>
      <c r="S799" s="545"/>
      <c r="T799" s="545">
        <v>1.6</v>
      </c>
      <c r="U799" s="545">
        <f>T799+N799+H799</f>
        <v>149.56249999999997</v>
      </c>
      <c r="V799" s="1015">
        <f>U799*$U$4</f>
        <v>201.66178175937495</v>
      </c>
    </row>
    <row r="800" spans="1:22" ht="12" customHeight="1">
      <c r="A800" s="1010"/>
      <c r="B800" s="1029"/>
      <c r="C800" s="1052"/>
      <c r="D800" s="1010"/>
      <c r="E800" s="413"/>
      <c r="F800" s="414"/>
      <c r="G800" s="414"/>
      <c r="H800" s="1057"/>
      <c r="I800" s="1002"/>
      <c r="J800" s="412"/>
      <c r="K800" s="414"/>
      <c r="L800" s="412"/>
      <c r="M800" s="412"/>
      <c r="N800" s="1091"/>
      <c r="O800" s="1002"/>
      <c r="P800" s="412"/>
      <c r="Q800" s="412"/>
      <c r="R800" s="412"/>
      <c r="S800" s="412"/>
      <c r="T800" s="514"/>
      <c r="U800" s="507"/>
      <c r="V800" s="1015"/>
    </row>
    <row r="801" spans="1:22" ht="12" customHeight="1">
      <c r="A801" s="1010">
        <v>14</v>
      </c>
      <c r="B801" s="1029" t="s">
        <v>328</v>
      </c>
      <c r="C801" s="1052"/>
      <c r="D801" s="1010" t="s">
        <v>329</v>
      </c>
      <c r="E801" s="413" t="s">
        <v>2557</v>
      </c>
      <c r="F801" s="414">
        <v>5.7</v>
      </c>
      <c r="G801" s="414">
        <v>3</v>
      </c>
      <c r="H801" s="1057">
        <f>F801*G801</f>
        <v>17.1</v>
      </c>
      <c r="I801" s="1002" t="s">
        <v>1945</v>
      </c>
      <c r="J801" s="412">
        <v>1</v>
      </c>
      <c r="K801" s="414">
        <v>1</v>
      </c>
      <c r="L801" s="415">
        <f>L795</f>
        <v>7.9875</v>
      </c>
      <c r="M801" s="412">
        <v>1</v>
      </c>
      <c r="N801" s="1090">
        <f>K801*L801/M801</f>
        <v>7.9875</v>
      </c>
      <c r="O801" s="1002" t="s">
        <v>277</v>
      </c>
      <c r="P801" s="412">
        <v>4</v>
      </c>
      <c r="Q801" s="412">
        <v>1</v>
      </c>
      <c r="R801" s="412">
        <v>0.4</v>
      </c>
      <c r="S801" s="412">
        <v>1</v>
      </c>
      <c r="T801" s="515">
        <f>P801*Q801*R801/S801</f>
        <v>1.6</v>
      </c>
      <c r="U801" s="507"/>
      <c r="V801" s="1015"/>
    </row>
    <row r="802" spans="1:22" ht="12" customHeight="1">
      <c r="A802" s="1010"/>
      <c r="B802" s="1029" t="s">
        <v>1953</v>
      </c>
      <c r="C802" s="1052"/>
      <c r="D802" s="1010" t="s">
        <v>1954</v>
      </c>
      <c r="E802" s="413" t="s">
        <v>2557</v>
      </c>
      <c r="F802" s="414">
        <v>11.4</v>
      </c>
      <c r="G802" s="414">
        <v>7</v>
      </c>
      <c r="H802" s="1057">
        <f>F802*G802</f>
        <v>79.8</v>
      </c>
      <c r="I802" s="1002" t="s">
        <v>1948</v>
      </c>
      <c r="J802" s="412">
        <v>1</v>
      </c>
      <c r="K802" s="414">
        <v>1</v>
      </c>
      <c r="L802" s="415">
        <f>L796</f>
        <v>3.55</v>
      </c>
      <c r="M802" s="412">
        <v>1</v>
      </c>
      <c r="N802" s="1090">
        <f>K802*L802/M802</f>
        <v>3.55</v>
      </c>
      <c r="O802" s="1002"/>
      <c r="P802" s="412"/>
      <c r="Q802" s="412"/>
      <c r="R802" s="412"/>
      <c r="S802" s="412"/>
      <c r="T802" s="514"/>
      <c r="U802" s="507"/>
      <c r="V802" s="1015"/>
    </row>
    <row r="803" spans="1:22" ht="12" customHeight="1">
      <c r="A803" s="1010"/>
      <c r="B803" s="1029"/>
      <c r="C803" s="1052"/>
      <c r="D803" s="1010" t="s">
        <v>1949</v>
      </c>
      <c r="E803" s="413" t="s">
        <v>1842</v>
      </c>
      <c r="F803" s="414">
        <v>1</v>
      </c>
      <c r="G803" s="414">
        <v>1</v>
      </c>
      <c r="H803" s="1057">
        <f>F803*G803</f>
        <v>1</v>
      </c>
      <c r="I803" s="1002" t="s">
        <v>812</v>
      </c>
      <c r="J803" s="412">
        <v>1</v>
      </c>
      <c r="K803" s="414">
        <v>0.5</v>
      </c>
      <c r="L803" s="415">
        <f>L797</f>
        <v>3.55</v>
      </c>
      <c r="M803" s="412">
        <v>1</v>
      </c>
      <c r="N803" s="1090">
        <f>K803*L803/M803</f>
        <v>1.775</v>
      </c>
      <c r="O803" s="1002"/>
      <c r="P803" s="412"/>
      <c r="Q803" s="412"/>
      <c r="R803" s="412"/>
      <c r="S803" s="412"/>
      <c r="T803" s="514"/>
      <c r="U803" s="507"/>
      <c r="V803" s="1015"/>
    </row>
    <row r="804" spans="1:22" ht="12" customHeight="1">
      <c r="A804" s="1010"/>
      <c r="B804" s="1029"/>
      <c r="C804" s="1052"/>
      <c r="D804" s="1010" t="s">
        <v>1950</v>
      </c>
      <c r="E804" s="413" t="s">
        <v>1842</v>
      </c>
      <c r="F804" s="414">
        <v>1</v>
      </c>
      <c r="G804" s="414">
        <v>0.75</v>
      </c>
      <c r="H804" s="1057">
        <f>F804*G804</f>
        <v>0.75</v>
      </c>
      <c r="I804" s="1002"/>
      <c r="J804" s="412"/>
      <c r="K804" s="414"/>
      <c r="L804" s="412"/>
      <c r="M804" s="412"/>
      <c r="N804" s="1091"/>
      <c r="O804" s="1002"/>
      <c r="P804" s="412"/>
      <c r="Q804" s="412"/>
      <c r="R804" s="412"/>
      <c r="S804" s="412"/>
      <c r="T804" s="514"/>
      <c r="U804" s="507"/>
      <c r="V804" s="1015"/>
    </row>
    <row r="805" spans="1:22" ht="12" customHeight="1">
      <c r="A805" s="1014"/>
      <c r="B805" s="1033"/>
      <c r="C805" s="1053"/>
      <c r="D805" s="1014"/>
      <c r="E805" s="544"/>
      <c r="F805" s="522"/>
      <c r="G805" s="545"/>
      <c r="H805" s="1015">
        <f>SUM(H801:H804)</f>
        <v>98.65</v>
      </c>
      <c r="I805" s="1017"/>
      <c r="J805" s="545"/>
      <c r="K805" s="545"/>
      <c r="L805" s="545"/>
      <c r="M805" s="545"/>
      <c r="N805" s="1015">
        <f>SUM(N801:N804)</f>
        <v>13.3125</v>
      </c>
      <c r="O805" s="1017"/>
      <c r="P805" s="545"/>
      <c r="Q805" s="545"/>
      <c r="R805" s="545"/>
      <c r="S805" s="545"/>
      <c r="T805" s="545">
        <f>SUM(T801:T804)</f>
        <v>1.6</v>
      </c>
      <c r="U805" s="545">
        <f>T805+N805+H805</f>
        <v>113.5625</v>
      </c>
      <c r="V805" s="1015">
        <f>U805*$U$4</f>
        <v>153.121377959375</v>
      </c>
    </row>
    <row r="806" spans="1:22" ht="12" customHeight="1">
      <c r="A806" s="1010"/>
      <c r="B806" s="1029"/>
      <c r="C806" s="1052"/>
      <c r="D806" s="1010"/>
      <c r="E806" s="413"/>
      <c r="F806" s="414"/>
      <c r="G806" s="414"/>
      <c r="H806" s="1057"/>
      <c r="I806" s="1002"/>
      <c r="J806" s="412"/>
      <c r="K806" s="414"/>
      <c r="L806" s="412"/>
      <c r="M806" s="412"/>
      <c r="N806" s="1091"/>
      <c r="O806" s="1002"/>
      <c r="P806" s="412"/>
      <c r="Q806" s="412"/>
      <c r="R806" s="412"/>
      <c r="S806" s="412"/>
      <c r="T806" s="514"/>
      <c r="U806" s="507"/>
      <c r="V806" s="1015"/>
    </row>
    <row r="807" spans="1:22" ht="12.75">
      <c r="A807" s="1010">
        <v>15</v>
      </c>
      <c r="B807" s="1029" t="s">
        <v>1955</v>
      </c>
      <c r="C807" s="1052"/>
      <c r="D807" s="1010" t="s">
        <v>1957</v>
      </c>
      <c r="E807" s="413" t="s">
        <v>1842</v>
      </c>
      <c r="F807" s="414">
        <v>1</v>
      </c>
      <c r="G807" s="414">
        <v>29</v>
      </c>
      <c r="H807" s="1059">
        <f>F807*G807</f>
        <v>29</v>
      </c>
      <c r="I807" s="1002" t="s">
        <v>1945</v>
      </c>
      <c r="J807" s="412">
        <v>1</v>
      </c>
      <c r="K807" s="414">
        <v>1</v>
      </c>
      <c r="L807" s="415">
        <f>L801</f>
        <v>7.9875</v>
      </c>
      <c r="M807" s="412">
        <v>4</v>
      </c>
      <c r="N807" s="1090">
        <f>K807*L807/M807</f>
        <v>1.996875</v>
      </c>
      <c r="O807" s="1002" t="s">
        <v>277</v>
      </c>
      <c r="P807" s="412">
        <v>4</v>
      </c>
      <c r="Q807" s="412">
        <v>1</v>
      </c>
      <c r="R807" s="412">
        <v>0.4</v>
      </c>
      <c r="S807" s="412">
        <v>4</v>
      </c>
      <c r="T807" s="515">
        <f>P807*Q807*R807/S807</f>
        <v>0.4</v>
      </c>
      <c r="U807" s="507"/>
      <c r="V807" s="1015"/>
    </row>
    <row r="808" spans="1:22" ht="12.75">
      <c r="A808" s="1010"/>
      <c r="B808" s="1029" t="s">
        <v>1956</v>
      </c>
      <c r="C808" s="1052"/>
      <c r="D808" s="1010"/>
      <c r="E808" s="413"/>
      <c r="F808" s="414"/>
      <c r="G808" s="414"/>
      <c r="H808" s="1057"/>
      <c r="I808" s="1002" t="s">
        <v>1948</v>
      </c>
      <c r="J808" s="412">
        <v>1</v>
      </c>
      <c r="K808" s="414">
        <v>1</v>
      </c>
      <c r="L808" s="415">
        <f>L802</f>
        <v>3.55</v>
      </c>
      <c r="M808" s="412">
        <v>4</v>
      </c>
      <c r="N808" s="1090">
        <f>K808*L808/M808</f>
        <v>0.8875</v>
      </c>
      <c r="O808" s="1002"/>
      <c r="P808" s="412"/>
      <c r="Q808" s="412"/>
      <c r="R808" s="412"/>
      <c r="S808" s="412"/>
      <c r="T808" s="514"/>
      <c r="U808" s="507"/>
      <c r="V808" s="1015"/>
    </row>
    <row r="809" spans="1:22" ht="12.75">
      <c r="A809" s="1010"/>
      <c r="B809" s="1029" t="s">
        <v>2722</v>
      </c>
      <c r="C809" s="1052"/>
      <c r="D809" s="1010"/>
      <c r="E809" s="413"/>
      <c r="F809" s="414"/>
      <c r="G809" s="414"/>
      <c r="H809" s="1057"/>
      <c r="I809" s="1002"/>
      <c r="J809" s="412"/>
      <c r="K809" s="414"/>
      <c r="L809" s="412"/>
      <c r="M809" s="412"/>
      <c r="N809" s="1090"/>
      <c r="O809" s="1002"/>
      <c r="P809" s="412"/>
      <c r="Q809" s="412"/>
      <c r="R809" s="412"/>
      <c r="S809" s="412"/>
      <c r="T809" s="514"/>
      <c r="U809" s="507"/>
      <c r="V809" s="1015"/>
    </row>
    <row r="810" spans="1:22" ht="12.75">
      <c r="A810" s="1014"/>
      <c r="B810" s="1033"/>
      <c r="C810" s="1053"/>
      <c r="D810" s="1014"/>
      <c r="E810" s="544"/>
      <c r="F810" s="522"/>
      <c r="G810" s="545"/>
      <c r="H810" s="1015">
        <f>SUM(H807:H809)</f>
        <v>29</v>
      </c>
      <c r="I810" s="1017"/>
      <c r="J810" s="545"/>
      <c r="K810" s="545"/>
      <c r="L810" s="545"/>
      <c r="M810" s="545"/>
      <c r="N810" s="1015">
        <f>SUM(N807:N809)</f>
        <v>2.884375</v>
      </c>
      <c r="O810" s="1017"/>
      <c r="P810" s="545"/>
      <c r="Q810" s="545"/>
      <c r="R810" s="545"/>
      <c r="S810" s="545"/>
      <c r="T810" s="545">
        <v>0.4</v>
      </c>
      <c r="U810" s="545">
        <f>T810+N810+H810</f>
        <v>32.284375</v>
      </c>
      <c r="V810" s="1015">
        <f>U810*$U$4</f>
        <v>43.530461081406244</v>
      </c>
    </row>
    <row r="811" spans="1:22" ht="12.75">
      <c r="A811" s="1010"/>
      <c r="B811" s="1029"/>
      <c r="C811" s="1052"/>
      <c r="D811" s="1010"/>
      <c r="E811" s="413"/>
      <c r="F811" s="414"/>
      <c r="G811" s="414"/>
      <c r="H811" s="1057"/>
      <c r="I811" s="1002"/>
      <c r="J811" s="412"/>
      <c r="K811" s="414"/>
      <c r="L811" s="412"/>
      <c r="M811" s="412"/>
      <c r="N811" s="1091"/>
      <c r="O811" s="1002"/>
      <c r="P811" s="412"/>
      <c r="Q811" s="412"/>
      <c r="R811" s="412"/>
      <c r="S811" s="412"/>
      <c r="T811" s="514"/>
      <c r="U811" s="507"/>
      <c r="V811" s="1015"/>
    </row>
    <row r="812" spans="1:22" ht="12.75">
      <c r="A812" s="1010">
        <v>16</v>
      </c>
      <c r="B812" s="1029" t="s">
        <v>1956</v>
      </c>
      <c r="C812" s="1052"/>
      <c r="D812" s="1010" t="s">
        <v>1957</v>
      </c>
      <c r="E812" s="413" t="s">
        <v>1842</v>
      </c>
      <c r="F812" s="414">
        <v>1</v>
      </c>
      <c r="G812" s="414">
        <v>35</v>
      </c>
      <c r="H812" s="1059">
        <f>F812*G812</f>
        <v>35</v>
      </c>
      <c r="I812" s="1002" t="s">
        <v>1945</v>
      </c>
      <c r="J812" s="412">
        <v>1</v>
      </c>
      <c r="K812" s="414">
        <v>1</v>
      </c>
      <c r="L812" s="415">
        <f>L807</f>
        <v>7.9875</v>
      </c>
      <c r="M812" s="412">
        <v>4</v>
      </c>
      <c r="N812" s="1090">
        <f>K812*L812/M812</f>
        <v>1.996875</v>
      </c>
      <c r="O812" s="1002" t="s">
        <v>277</v>
      </c>
      <c r="P812" s="412">
        <v>4</v>
      </c>
      <c r="Q812" s="412">
        <v>1</v>
      </c>
      <c r="R812" s="412">
        <v>0.4</v>
      </c>
      <c r="S812" s="412">
        <v>4</v>
      </c>
      <c r="T812" s="515">
        <f>P812*Q812*R812/S812</f>
        <v>0.4</v>
      </c>
      <c r="U812" s="507"/>
      <c r="V812" s="1015"/>
    </row>
    <row r="813" spans="1:22" ht="12.75">
      <c r="A813" s="1010"/>
      <c r="B813" s="1029" t="s">
        <v>1958</v>
      </c>
      <c r="C813" s="1052"/>
      <c r="D813" s="1010"/>
      <c r="E813" s="413"/>
      <c r="F813" s="414"/>
      <c r="G813" s="414"/>
      <c r="H813" s="1059"/>
      <c r="I813" s="1002" t="s">
        <v>1948</v>
      </c>
      <c r="J813" s="412">
        <v>1</v>
      </c>
      <c r="K813" s="414">
        <v>1</v>
      </c>
      <c r="L813" s="415">
        <f>L808</f>
        <v>3.55</v>
      </c>
      <c r="M813" s="412">
        <v>4</v>
      </c>
      <c r="N813" s="1090">
        <f>K813*L813/M813</f>
        <v>0.8875</v>
      </c>
      <c r="O813" s="1002"/>
      <c r="P813" s="412"/>
      <c r="Q813" s="412"/>
      <c r="R813" s="412"/>
      <c r="S813" s="412"/>
      <c r="T813" s="515"/>
      <c r="U813" s="507"/>
      <c r="V813" s="1015"/>
    </row>
    <row r="814" spans="1:22" ht="12.75">
      <c r="A814" s="1010"/>
      <c r="B814" s="1029" t="s">
        <v>1960</v>
      </c>
      <c r="C814" s="1052"/>
      <c r="D814" s="1010"/>
      <c r="E814" s="413"/>
      <c r="F814" s="414"/>
      <c r="G814" s="414"/>
      <c r="H814" s="1059"/>
      <c r="I814" s="1002"/>
      <c r="J814" s="412"/>
      <c r="K814" s="414"/>
      <c r="L814" s="412"/>
      <c r="M814" s="412"/>
      <c r="N814" s="1090"/>
      <c r="O814" s="1002"/>
      <c r="P814" s="412"/>
      <c r="Q814" s="412"/>
      <c r="R814" s="412"/>
      <c r="S814" s="412"/>
      <c r="T814" s="515"/>
      <c r="U814" s="507"/>
      <c r="V814" s="1015"/>
    </row>
    <row r="815" spans="1:22" ht="12.75">
      <c r="A815" s="1014"/>
      <c r="B815" s="1033"/>
      <c r="C815" s="1053"/>
      <c r="D815" s="1014"/>
      <c r="E815" s="544"/>
      <c r="F815" s="522"/>
      <c r="G815" s="545"/>
      <c r="H815" s="1015">
        <f>SUM(H812:H814)</f>
        <v>35</v>
      </c>
      <c r="I815" s="1017"/>
      <c r="J815" s="545"/>
      <c r="K815" s="545"/>
      <c r="L815" s="545"/>
      <c r="M815" s="545"/>
      <c r="N815" s="1015">
        <f>SUM(N812:N814)</f>
        <v>2.884375</v>
      </c>
      <c r="O815" s="1017"/>
      <c r="P815" s="545"/>
      <c r="Q815" s="545"/>
      <c r="R815" s="545"/>
      <c r="S815" s="545"/>
      <c r="T815" s="545">
        <v>0.4</v>
      </c>
      <c r="U815" s="545">
        <f>T815+N815+H815</f>
        <v>38.284375</v>
      </c>
      <c r="V815" s="1015">
        <f>U815*$U$4</f>
        <v>51.620528381406245</v>
      </c>
    </row>
    <row r="816" spans="1:22" ht="12.75">
      <c r="A816" s="1010"/>
      <c r="B816" s="1029"/>
      <c r="C816" s="1052"/>
      <c r="D816" s="1010"/>
      <c r="E816" s="413"/>
      <c r="F816" s="414"/>
      <c r="G816" s="414"/>
      <c r="H816" s="1057"/>
      <c r="I816" s="1002"/>
      <c r="J816" s="412"/>
      <c r="K816" s="414"/>
      <c r="L816" s="412"/>
      <c r="M816" s="412"/>
      <c r="N816" s="1091"/>
      <c r="O816" s="1002"/>
      <c r="P816" s="412"/>
      <c r="Q816" s="412"/>
      <c r="R816" s="412"/>
      <c r="S816" s="412"/>
      <c r="T816" s="514"/>
      <c r="U816" s="507"/>
      <c r="V816" s="1015"/>
    </row>
    <row r="817" spans="1:22" ht="12.75">
      <c r="A817" s="1010">
        <v>17</v>
      </c>
      <c r="B817" s="1029" t="s">
        <v>1956</v>
      </c>
      <c r="C817" s="1052"/>
      <c r="D817" s="1010" t="s">
        <v>1957</v>
      </c>
      <c r="E817" s="413" t="s">
        <v>1842</v>
      </c>
      <c r="F817" s="414">
        <v>1</v>
      </c>
      <c r="G817" s="414">
        <v>48</v>
      </c>
      <c r="H817" s="1059">
        <f>F817*G817</f>
        <v>48</v>
      </c>
      <c r="I817" s="1002" t="s">
        <v>1945</v>
      </c>
      <c r="J817" s="412">
        <v>1</v>
      </c>
      <c r="K817" s="414">
        <v>1</v>
      </c>
      <c r="L817" s="415">
        <f>L812</f>
        <v>7.9875</v>
      </c>
      <c r="M817" s="412">
        <v>4</v>
      </c>
      <c r="N817" s="1090">
        <f>K817*L817/M817</f>
        <v>1.996875</v>
      </c>
      <c r="O817" s="1002" t="s">
        <v>277</v>
      </c>
      <c r="P817" s="412">
        <v>4</v>
      </c>
      <c r="Q817" s="412">
        <v>1</v>
      </c>
      <c r="R817" s="412">
        <v>0.4</v>
      </c>
      <c r="S817" s="412">
        <v>4</v>
      </c>
      <c r="T817" s="515">
        <f>P817*Q817*R817/S817</f>
        <v>0.4</v>
      </c>
      <c r="U817" s="507"/>
      <c r="V817" s="1015"/>
    </row>
    <row r="818" spans="1:22" ht="12.75">
      <c r="A818" s="1010"/>
      <c r="B818" s="1029" t="s">
        <v>2845</v>
      </c>
      <c r="C818" s="1052"/>
      <c r="D818" s="1010"/>
      <c r="E818" s="413"/>
      <c r="F818" s="414"/>
      <c r="G818" s="414"/>
      <c r="H818" s="1057"/>
      <c r="I818" s="1002" t="s">
        <v>1948</v>
      </c>
      <c r="J818" s="412">
        <v>1</v>
      </c>
      <c r="K818" s="414">
        <v>1</v>
      </c>
      <c r="L818" s="415">
        <f>L813</f>
        <v>3.55</v>
      </c>
      <c r="M818" s="412">
        <v>4</v>
      </c>
      <c r="N818" s="1090">
        <f>K818*L818/M818</f>
        <v>0.8875</v>
      </c>
      <c r="O818" s="1002"/>
      <c r="P818" s="412"/>
      <c r="Q818" s="412"/>
      <c r="R818" s="412"/>
      <c r="S818" s="412"/>
      <c r="T818" s="515"/>
      <c r="U818" s="507"/>
      <c r="V818" s="1015"/>
    </row>
    <row r="819" spans="1:22" ht="12.75">
      <c r="A819" s="1010"/>
      <c r="B819" s="1029" t="s">
        <v>2846</v>
      </c>
      <c r="C819" s="1052"/>
      <c r="D819" s="1010"/>
      <c r="E819" s="413"/>
      <c r="F819" s="414"/>
      <c r="G819" s="414"/>
      <c r="H819" s="1057"/>
      <c r="I819" s="1002"/>
      <c r="J819" s="412"/>
      <c r="K819" s="414"/>
      <c r="L819" s="412"/>
      <c r="M819" s="412"/>
      <c r="N819" s="1090"/>
      <c r="O819" s="1002"/>
      <c r="P819" s="412"/>
      <c r="Q819" s="412"/>
      <c r="R819" s="412"/>
      <c r="S819" s="412"/>
      <c r="T819" s="515"/>
      <c r="U819" s="507"/>
      <c r="V819" s="1015"/>
    </row>
    <row r="820" spans="1:22" ht="12.75">
      <c r="A820" s="1014"/>
      <c r="B820" s="1033"/>
      <c r="C820" s="1053"/>
      <c r="D820" s="1014"/>
      <c r="E820" s="544"/>
      <c r="F820" s="522"/>
      <c r="G820" s="545"/>
      <c r="H820" s="1015">
        <f>SUM(H817:H819)</f>
        <v>48</v>
      </c>
      <c r="I820" s="1017"/>
      <c r="J820" s="545"/>
      <c r="K820" s="545"/>
      <c r="L820" s="545"/>
      <c r="M820" s="545"/>
      <c r="N820" s="1015">
        <f>SUM(N817:N819)</f>
        <v>2.884375</v>
      </c>
      <c r="O820" s="1017"/>
      <c r="P820" s="545"/>
      <c r="Q820" s="545"/>
      <c r="R820" s="545"/>
      <c r="S820" s="545"/>
      <c r="T820" s="545">
        <f>SUM(T817:T819)</f>
        <v>0.4</v>
      </c>
      <c r="U820" s="545">
        <f>T820+N820+H820</f>
        <v>51.284375</v>
      </c>
      <c r="V820" s="1015">
        <f>U820*$U$4</f>
        <v>69.14900753140624</v>
      </c>
    </row>
    <row r="821" spans="1:22" ht="12.75">
      <c r="A821" s="1010"/>
      <c r="B821" s="1029"/>
      <c r="C821" s="1052"/>
      <c r="D821" s="1010"/>
      <c r="E821" s="413"/>
      <c r="F821" s="414"/>
      <c r="G821" s="414"/>
      <c r="H821" s="1057"/>
      <c r="I821" s="1002"/>
      <c r="J821" s="412"/>
      <c r="K821" s="414"/>
      <c r="L821" s="412"/>
      <c r="M821" s="412"/>
      <c r="N821" s="1091"/>
      <c r="O821" s="1002"/>
      <c r="P821" s="412"/>
      <c r="Q821" s="412"/>
      <c r="R821" s="412"/>
      <c r="S821" s="412"/>
      <c r="T821" s="514"/>
      <c r="U821" s="507"/>
      <c r="V821" s="1015"/>
    </row>
    <row r="822" spans="1:22" ht="12.75">
      <c r="A822" s="1010">
        <v>18</v>
      </c>
      <c r="B822" s="1029" t="s">
        <v>1956</v>
      </c>
      <c r="C822" s="1052"/>
      <c r="D822" s="1010" t="s">
        <v>1957</v>
      </c>
      <c r="E822" s="413" t="s">
        <v>1842</v>
      </c>
      <c r="F822" s="414">
        <v>1</v>
      </c>
      <c r="G822" s="414">
        <v>52</v>
      </c>
      <c r="H822" s="1059">
        <f>F822*G822</f>
        <v>52</v>
      </c>
      <c r="I822" s="1002" t="s">
        <v>1945</v>
      </c>
      <c r="J822" s="412">
        <v>1</v>
      </c>
      <c r="K822" s="414">
        <v>1</v>
      </c>
      <c r="L822" s="415">
        <f>L817</f>
        <v>7.9875</v>
      </c>
      <c r="M822" s="412">
        <v>4</v>
      </c>
      <c r="N822" s="1090">
        <f>K822*L822/M822</f>
        <v>1.996875</v>
      </c>
      <c r="O822" s="1002" t="s">
        <v>277</v>
      </c>
      <c r="P822" s="412">
        <v>4</v>
      </c>
      <c r="Q822" s="412">
        <v>1</v>
      </c>
      <c r="R822" s="414">
        <v>0.4</v>
      </c>
      <c r="S822" s="414">
        <v>4</v>
      </c>
      <c r="T822" s="515">
        <f>P822*Q822*R822/S822</f>
        <v>0.4</v>
      </c>
      <c r="U822" s="507"/>
      <c r="V822" s="1015"/>
    </row>
    <row r="823" spans="1:22" ht="12.75">
      <c r="A823" s="1010"/>
      <c r="B823" s="1029" t="s">
        <v>2843</v>
      </c>
      <c r="C823" s="1052"/>
      <c r="D823" s="1010"/>
      <c r="E823" s="413"/>
      <c r="F823" s="414"/>
      <c r="G823" s="414"/>
      <c r="H823" s="1059"/>
      <c r="I823" s="1002" t="s">
        <v>1948</v>
      </c>
      <c r="J823" s="412">
        <v>1</v>
      </c>
      <c r="K823" s="414">
        <v>1</v>
      </c>
      <c r="L823" s="415">
        <f>L818</f>
        <v>3.55</v>
      </c>
      <c r="M823" s="412">
        <v>4</v>
      </c>
      <c r="N823" s="1090">
        <f>K823*L823/M823</f>
        <v>0.8875</v>
      </c>
      <c r="O823" s="1002"/>
      <c r="P823" s="412"/>
      <c r="Q823" s="412"/>
      <c r="R823" s="414"/>
      <c r="S823" s="414"/>
      <c r="T823" s="515"/>
      <c r="U823" s="507"/>
      <c r="V823" s="1015"/>
    </row>
    <row r="824" spans="1:22" ht="12.75">
      <c r="A824" s="1010"/>
      <c r="B824" s="1029" t="s">
        <v>2844</v>
      </c>
      <c r="C824" s="1052"/>
      <c r="D824" s="1010"/>
      <c r="E824" s="413"/>
      <c r="F824" s="414"/>
      <c r="G824" s="414"/>
      <c r="H824" s="1059"/>
      <c r="I824" s="1002"/>
      <c r="J824" s="412"/>
      <c r="K824" s="414"/>
      <c r="L824" s="412"/>
      <c r="M824" s="412"/>
      <c r="N824" s="1091"/>
      <c r="O824" s="1002"/>
      <c r="P824" s="412"/>
      <c r="Q824" s="412"/>
      <c r="R824" s="414"/>
      <c r="S824" s="414"/>
      <c r="T824" s="515"/>
      <c r="U824" s="507"/>
      <c r="V824" s="1015"/>
    </row>
    <row r="825" spans="1:22" ht="12.75">
      <c r="A825" s="1014"/>
      <c r="B825" s="1033"/>
      <c r="C825" s="1053"/>
      <c r="D825" s="1014"/>
      <c r="E825" s="544"/>
      <c r="F825" s="522"/>
      <c r="G825" s="545"/>
      <c r="H825" s="1015">
        <f>SUM(H822:H824)</f>
        <v>52</v>
      </c>
      <c r="I825" s="1017"/>
      <c r="J825" s="545"/>
      <c r="K825" s="545"/>
      <c r="L825" s="545"/>
      <c r="M825" s="545"/>
      <c r="N825" s="1015">
        <f>SUM(N822:N824)</f>
        <v>2.884375</v>
      </c>
      <c r="O825" s="1017"/>
      <c r="P825" s="545"/>
      <c r="Q825" s="545"/>
      <c r="R825" s="545"/>
      <c r="S825" s="545"/>
      <c r="T825" s="545">
        <v>0.4</v>
      </c>
      <c r="U825" s="545">
        <f>T825+N825+H825</f>
        <v>55.284375</v>
      </c>
      <c r="V825" s="1015">
        <f>U825*$U$4</f>
        <v>74.54238573140624</v>
      </c>
    </row>
    <row r="826" spans="1:22" ht="12.75">
      <c r="A826" s="1010"/>
      <c r="B826" s="1029"/>
      <c r="C826" s="1052"/>
      <c r="D826" s="1010"/>
      <c r="E826" s="413"/>
      <c r="F826" s="414"/>
      <c r="G826" s="414"/>
      <c r="H826" s="1057"/>
      <c r="I826" s="1002"/>
      <c r="J826" s="412"/>
      <c r="K826" s="414"/>
      <c r="L826" s="412"/>
      <c r="M826" s="412"/>
      <c r="N826" s="1091"/>
      <c r="O826" s="1002"/>
      <c r="P826" s="412"/>
      <c r="Q826" s="412"/>
      <c r="R826" s="412"/>
      <c r="S826" s="412"/>
      <c r="T826" s="514"/>
      <c r="U826" s="507"/>
      <c r="V826" s="1015"/>
    </row>
    <row r="827" spans="1:22" ht="12.75">
      <c r="A827" s="1010">
        <v>19</v>
      </c>
      <c r="B827" s="1029" t="s">
        <v>1956</v>
      </c>
      <c r="C827" s="1052"/>
      <c r="D827" s="1010" t="s">
        <v>1957</v>
      </c>
      <c r="E827" s="413" t="s">
        <v>1842</v>
      </c>
      <c r="F827" s="414">
        <v>1</v>
      </c>
      <c r="G827" s="414">
        <v>65</v>
      </c>
      <c r="H827" s="1057">
        <f>F827*G827</f>
        <v>65</v>
      </c>
      <c r="I827" s="1002" t="s">
        <v>1945</v>
      </c>
      <c r="J827" s="412">
        <v>1</v>
      </c>
      <c r="K827" s="414">
        <v>1</v>
      </c>
      <c r="L827" s="415">
        <f>L822</f>
        <v>7.9875</v>
      </c>
      <c r="M827" s="412">
        <v>4</v>
      </c>
      <c r="N827" s="1090">
        <f>K827*L827/M827</f>
        <v>1.996875</v>
      </c>
      <c r="O827" s="1002" t="s">
        <v>277</v>
      </c>
      <c r="P827" s="412">
        <v>4</v>
      </c>
      <c r="Q827" s="412">
        <v>1</v>
      </c>
      <c r="R827" s="414">
        <v>0.4</v>
      </c>
      <c r="S827" s="414">
        <v>4</v>
      </c>
      <c r="T827" s="515">
        <f>P827*Q827*R827/S827</f>
        <v>0.4</v>
      </c>
      <c r="U827" s="507"/>
      <c r="V827" s="1015"/>
    </row>
    <row r="828" spans="1:22" ht="12.75">
      <c r="A828" s="1010"/>
      <c r="B828" s="1029" t="s">
        <v>1959</v>
      </c>
      <c r="C828" s="1052"/>
      <c r="D828" s="1010"/>
      <c r="E828" s="413"/>
      <c r="F828" s="414"/>
      <c r="G828" s="414"/>
      <c r="H828" s="1057"/>
      <c r="I828" s="1002" t="s">
        <v>1948</v>
      </c>
      <c r="J828" s="412">
        <v>1</v>
      </c>
      <c r="K828" s="414">
        <v>1</v>
      </c>
      <c r="L828" s="415">
        <f>L823</f>
        <v>3.55</v>
      </c>
      <c r="M828" s="412">
        <v>4</v>
      </c>
      <c r="N828" s="1090">
        <f>K828*L828/M828</f>
        <v>0.8875</v>
      </c>
      <c r="O828" s="1002"/>
      <c r="P828" s="412"/>
      <c r="Q828" s="412"/>
      <c r="R828" s="414"/>
      <c r="S828" s="414"/>
      <c r="T828" s="515"/>
      <c r="U828" s="507"/>
      <c r="V828" s="1015"/>
    </row>
    <row r="829" spans="1:22" ht="12.75">
      <c r="A829" s="1010"/>
      <c r="B829" s="1029" t="s">
        <v>1960</v>
      </c>
      <c r="C829" s="1052"/>
      <c r="D829" s="1010"/>
      <c r="E829" s="413"/>
      <c r="F829" s="414"/>
      <c r="G829" s="414"/>
      <c r="H829" s="1057"/>
      <c r="I829" s="1002"/>
      <c r="J829" s="412"/>
      <c r="K829" s="414"/>
      <c r="L829" s="412"/>
      <c r="M829" s="412"/>
      <c r="N829" s="1090"/>
      <c r="O829" s="1002"/>
      <c r="P829" s="412"/>
      <c r="Q829" s="412"/>
      <c r="R829" s="414"/>
      <c r="S829" s="414"/>
      <c r="T829" s="515"/>
      <c r="U829" s="507"/>
      <c r="V829" s="1015"/>
    </row>
    <row r="830" spans="1:22" ht="12.75">
      <c r="A830" s="1014"/>
      <c r="B830" s="1033"/>
      <c r="C830" s="1053"/>
      <c r="D830" s="1014"/>
      <c r="E830" s="544"/>
      <c r="F830" s="522"/>
      <c r="G830" s="545"/>
      <c r="H830" s="1015">
        <f>SUM(H827:H829)</f>
        <v>65</v>
      </c>
      <c r="I830" s="1017"/>
      <c r="J830" s="545"/>
      <c r="K830" s="545"/>
      <c r="L830" s="545"/>
      <c r="M830" s="545"/>
      <c r="N830" s="1015">
        <f>SUM(N827:N829)</f>
        <v>2.884375</v>
      </c>
      <c r="O830" s="1017"/>
      <c r="P830" s="545"/>
      <c r="Q830" s="545"/>
      <c r="R830" s="545"/>
      <c r="S830" s="545"/>
      <c r="T830" s="545">
        <v>0.4</v>
      </c>
      <c r="U830" s="545">
        <f>T830+N830+H830</f>
        <v>68.284375</v>
      </c>
      <c r="V830" s="1015">
        <f>U830*$U$4</f>
        <v>92.07086488140625</v>
      </c>
    </row>
    <row r="831" spans="1:22" ht="12.75">
      <c r="A831" s="1010"/>
      <c r="B831" s="1029"/>
      <c r="C831" s="1052"/>
      <c r="D831" s="1010"/>
      <c r="E831" s="413"/>
      <c r="F831" s="414"/>
      <c r="G831" s="414"/>
      <c r="H831" s="1057"/>
      <c r="I831" s="1002"/>
      <c r="J831" s="412"/>
      <c r="K831" s="414"/>
      <c r="L831" s="412"/>
      <c r="M831" s="412"/>
      <c r="N831" s="1091"/>
      <c r="O831" s="1002"/>
      <c r="P831" s="412"/>
      <c r="Q831" s="412"/>
      <c r="R831" s="412"/>
      <c r="S831" s="412"/>
      <c r="T831" s="514"/>
      <c r="U831" s="507"/>
      <c r="V831" s="1015"/>
    </row>
    <row r="832" spans="1:22" ht="12.75">
      <c r="A832" s="1010">
        <v>20</v>
      </c>
      <c r="B832" s="1029" t="s">
        <v>1961</v>
      </c>
      <c r="C832" s="1052"/>
      <c r="D832" s="1010" t="s">
        <v>1962</v>
      </c>
      <c r="E832" s="413" t="s">
        <v>1842</v>
      </c>
      <c r="F832" s="414">
        <v>1</v>
      </c>
      <c r="G832" s="414">
        <f>14*2</f>
        <v>28</v>
      </c>
      <c r="H832" s="1059">
        <f>G832*F832</f>
        <v>28</v>
      </c>
      <c r="I832" s="1002" t="s">
        <v>1945</v>
      </c>
      <c r="J832" s="412">
        <v>1</v>
      </c>
      <c r="K832" s="414">
        <v>1</v>
      </c>
      <c r="L832" s="415">
        <f>L827</f>
        <v>7.9875</v>
      </c>
      <c r="M832" s="412">
        <v>1</v>
      </c>
      <c r="N832" s="1090">
        <f>K832*L832/M832</f>
        <v>7.9875</v>
      </c>
      <c r="O832" s="1002" t="s">
        <v>277</v>
      </c>
      <c r="P832" s="412">
        <v>4</v>
      </c>
      <c r="Q832" s="412">
        <v>1</v>
      </c>
      <c r="R832" s="412">
        <v>0.4</v>
      </c>
      <c r="S832" s="412">
        <v>1</v>
      </c>
      <c r="T832" s="515">
        <f>P832*Q832*R832/S832</f>
        <v>1.6</v>
      </c>
      <c r="U832" s="507"/>
      <c r="V832" s="1015"/>
    </row>
    <row r="833" spans="1:22" ht="12.75">
      <c r="A833" s="1010"/>
      <c r="B833" s="1029" t="s">
        <v>1963</v>
      </c>
      <c r="C833" s="1052"/>
      <c r="D833" s="1010" t="s">
        <v>2311</v>
      </c>
      <c r="E833" s="413" t="s">
        <v>2557</v>
      </c>
      <c r="F833" s="414">
        <v>11.2</v>
      </c>
      <c r="G833" s="414">
        <f>'Material price'!D337</f>
        <v>20</v>
      </c>
      <c r="H833" s="1059">
        <f>G833*F833</f>
        <v>224</v>
      </c>
      <c r="I833" s="1002" t="s">
        <v>1948</v>
      </c>
      <c r="J833" s="412">
        <v>1</v>
      </c>
      <c r="K833" s="414">
        <v>1</v>
      </c>
      <c r="L833" s="415">
        <f>L828</f>
        <v>3.55</v>
      </c>
      <c r="M833" s="412">
        <v>1</v>
      </c>
      <c r="N833" s="1090">
        <f>K833*L833/M833</f>
        <v>3.55</v>
      </c>
      <c r="O833" s="1002"/>
      <c r="P833" s="412"/>
      <c r="Q833" s="412"/>
      <c r="R833" s="412"/>
      <c r="S833" s="412"/>
      <c r="T833" s="514"/>
      <c r="U833" s="507"/>
      <c r="V833" s="1015"/>
    </row>
    <row r="834" spans="1:22" ht="12.75">
      <c r="A834" s="1010"/>
      <c r="B834" s="1029" t="s">
        <v>2476</v>
      </c>
      <c r="C834" s="1052"/>
      <c r="D834" s="1010" t="s">
        <v>329</v>
      </c>
      <c r="E834" s="413" t="s">
        <v>2557</v>
      </c>
      <c r="F834" s="414">
        <v>5.6</v>
      </c>
      <c r="G834" s="414">
        <f>3*2</f>
        <v>6</v>
      </c>
      <c r="H834" s="1059">
        <f>G834*F834</f>
        <v>33.599999999999994</v>
      </c>
      <c r="I834" s="1002" t="s">
        <v>2477</v>
      </c>
      <c r="J834" s="412">
        <v>1</v>
      </c>
      <c r="K834" s="414">
        <v>0.5</v>
      </c>
      <c r="L834" s="415">
        <f>'[1]Labour Cost'!E6</f>
        <v>6.2124999999999995</v>
      </c>
      <c r="M834" s="412">
        <v>1</v>
      </c>
      <c r="N834" s="1090">
        <f>K834*L834/M834</f>
        <v>3.1062499999999997</v>
      </c>
      <c r="O834" s="1002"/>
      <c r="P834" s="412"/>
      <c r="Q834" s="412"/>
      <c r="R834" s="412"/>
      <c r="S834" s="412"/>
      <c r="T834" s="514"/>
      <c r="U834" s="507"/>
      <c r="V834" s="1015"/>
    </row>
    <row r="835" spans="1:22" ht="12.75">
      <c r="A835" s="1010"/>
      <c r="B835" s="1029"/>
      <c r="C835" s="1052"/>
      <c r="D835" s="1010" t="s">
        <v>1788</v>
      </c>
      <c r="E835" s="413" t="s">
        <v>1842</v>
      </c>
      <c r="F835" s="414">
        <v>1</v>
      </c>
      <c r="G835" s="414">
        <v>0.75</v>
      </c>
      <c r="H835" s="1059">
        <f>G835*F835</f>
        <v>0.75</v>
      </c>
      <c r="I835" s="1002"/>
      <c r="J835" s="412"/>
      <c r="K835" s="414"/>
      <c r="L835" s="412"/>
      <c r="M835" s="412"/>
      <c r="N835" s="1091"/>
      <c r="O835" s="1002"/>
      <c r="P835" s="412"/>
      <c r="Q835" s="412"/>
      <c r="R835" s="412"/>
      <c r="S835" s="412"/>
      <c r="T835" s="514"/>
      <c r="U835" s="507"/>
      <c r="V835" s="1015"/>
    </row>
    <row r="836" spans="1:22" ht="12.75">
      <c r="A836" s="1014"/>
      <c r="B836" s="1033"/>
      <c r="C836" s="1053"/>
      <c r="D836" s="1014"/>
      <c r="E836" s="544"/>
      <c r="F836" s="522"/>
      <c r="G836" s="545"/>
      <c r="H836" s="1015">
        <f>SUM(H832:H835)</f>
        <v>286.35</v>
      </c>
      <c r="I836" s="1017"/>
      <c r="J836" s="545"/>
      <c r="K836" s="545"/>
      <c r="L836" s="545"/>
      <c r="M836" s="545"/>
      <c r="N836" s="1015">
        <f>SUM(N832:N835)</f>
        <v>14.643749999999999</v>
      </c>
      <c r="O836" s="1017"/>
      <c r="P836" s="545"/>
      <c r="Q836" s="545"/>
      <c r="R836" s="545"/>
      <c r="S836" s="545"/>
      <c r="T836" s="545">
        <f>SUM(T832:T835)</f>
        <v>1.6</v>
      </c>
      <c r="U836" s="545">
        <f>T836+N836+H836</f>
        <v>302.59375</v>
      </c>
      <c r="V836" s="1015">
        <f>U836*$U$4</f>
        <v>408.0006336765625</v>
      </c>
    </row>
    <row r="837" spans="1:22" ht="12.75">
      <c r="A837" s="1010"/>
      <c r="B837" s="1029"/>
      <c r="C837" s="1052"/>
      <c r="D837" s="1010"/>
      <c r="E837" s="413"/>
      <c r="F837" s="414"/>
      <c r="G837" s="414"/>
      <c r="H837" s="1057"/>
      <c r="I837" s="1002"/>
      <c r="J837" s="412"/>
      <c r="K837" s="414"/>
      <c r="L837" s="412"/>
      <c r="M837" s="412"/>
      <c r="N837" s="1091"/>
      <c r="O837" s="1002"/>
      <c r="P837" s="412"/>
      <c r="Q837" s="412"/>
      <c r="R837" s="412"/>
      <c r="S837" s="412"/>
      <c r="T837" s="514"/>
      <c r="U837" s="507"/>
      <c r="V837" s="1015"/>
    </row>
    <row r="838" spans="1:22" ht="12.75">
      <c r="A838" s="1010">
        <v>21</v>
      </c>
      <c r="B838" s="1029" t="s">
        <v>1961</v>
      </c>
      <c r="C838" s="1052"/>
      <c r="D838" s="1010" t="s">
        <v>1962</v>
      </c>
      <c r="E838" s="413" t="s">
        <v>1842</v>
      </c>
      <c r="F838" s="414">
        <v>1</v>
      </c>
      <c r="G838" s="414">
        <f>14*2</f>
        <v>28</v>
      </c>
      <c r="H838" s="1059">
        <f>G838*F838</f>
        <v>28</v>
      </c>
      <c r="I838" s="1002" t="s">
        <v>1945</v>
      </c>
      <c r="J838" s="412">
        <v>1</v>
      </c>
      <c r="K838" s="414">
        <v>1</v>
      </c>
      <c r="L838" s="415">
        <f>L832</f>
        <v>7.9875</v>
      </c>
      <c r="M838" s="412">
        <v>1</v>
      </c>
      <c r="N838" s="1090">
        <f>K838*L838/M838</f>
        <v>7.9875</v>
      </c>
      <c r="O838" s="1002" t="s">
        <v>277</v>
      </c>
      <c r="P838" s="412">
        <v>4</v>
      </c>
      <c r="Q838" s="412">
        <v>1</v>
      </c>
      <c r="R838" s="412">
        <v>0.4</v>
      </c>
      <c r="S838" s="412">
        <v>1</v>
      </c>
      <c r="T838" s="515">
        <f>P838*Q838*R838/S838</f>
        <v>1.6</v>
      </c>
      <c r="U838" s="507"/>
      <c r="V838" s="1015"/>
    </row>
    <row r="839" spans="1:22" ht="12.75">
      <c r="A839" s="1010"/>
      <c r="B839" s="1029" t="s">
        <v>1789</v>
      </c>
      <c r="C839" s="1052"/>
      <c r="D839" s="1010" t="s">
        <v>2311</v>
      </c>
      <c r="E839" s="413" t="s">
        <v>2557</v>
      </c>
      <c r="F839" s="414">
        <v>33</v>
      </c>
      <c r="G839" s="414">
        <f>G833</f>
        <v>20</v>
      </c>
      <c r="H839" s="1059">
        <f>G839*F839</f>
        <v>660</v>
      </c>
      <c r="I839" s="1002" t="s">
        <v>1948</v>
      </c>
      <c r="J839" s="412">
        <v>1</v>
      </c>
      <c r="K839" s="414">
        <v>1</v>
      </c>
      <c r="L839" s="415">
        <f>L833</f>
        <v>3.55</v>
      </c>
      <c r="M839" s="412">
        <v>1</v>
      </c>
      <c r="N839" s="1090">
        <f>K839*L839/M839</f>
        <v>3.55</v>
      </c>
      <c r="O839" s="1002"/>
      <c r="P839" s="412"/>
      <c r="Q839" s="412"/>
      <c r="R839" s="412"/>
      <c r="S839" s="412"/>
      <c r="T839" s="514"/>
      <c r="U839" s="507"/>
      <c r="V839" s="1015"/>
    </row>
    <row r="840" spans="1:22" ht="12.75">
      <c r="A840" s="1010"/>
      <c r="B840" s="1029"/>
      <c r="C840" s="1052"/>
      <c r="D840" s="1010" t="s">
        <v>329</v>
      </c>
      <c r="E840" s="413" t="s">
        <v>2557</v>
      </c>
      <c r="F840" s="414">
        <v>16.5</v>
      </c>
      <c r="G840" s="414">
        <v>3</v>
      </c>
      <c r="H840" s="1059">
        <f>G840*F840</f>
        <v>49.5</v>
      </c>
      <c r="I840" s="1002" t="s">
        <v>2477</v>
      </c>
      <c r="J840" s="412">
        <v>1</v>
      </c>
      <c r="K840" s="414">
        <v>0.5</v>
      </c>
      <c r="L840" s="415">
        <f>L834</f>
        <v>6.2124999999999995</v>
      </c>
      <c r="M840" s="412">
        <v>1</v>
      </c>
      <c r="N840" s="1090">
        <f>K840*L840/M840</f>
        <v>3.1062499999999997</v>
      </c>
      <c r="O840" s="1002"/>
      <c r="P840" s="412"/>
      <c r="Q840" s="412"/>
      <c r="R840" s="412"/>
      <c r="S840" s="412"/>
      <c r="T840" s="514"/>
      <c r="U840" s="507"/>
      <c r="V840" s="1015"/>
    </row>
    <row r="841" spans="1:22" ht="12.75">
      <c r="A841" s="1010"/>
      <c r="B841" s="1029"/>
      <c r="C841" s="1052"/>
      <c r="D841" s="1010" t="s">
        <v>1788</v>
      </c>
      <c r="E841" s="413" t="s">
        <v>1842</v>
      </c>
      <c r="F841" s="414">
        <v>1</v>
      </c>
      <c r="G841" s="414">
        <v>0.75</v>
      </c>
      <c r="H841" s="1059">
        <f>G841*F841</f>
        <v>0.75</v>
      </c>
      <c r="I841" s="1002"/>
      <c r="J841" s="412"/>
      <c r="K841" s="414"/>
      <c r="L841" s="412"/>
      <c r="M841" s="412"/>
      <c r="N841" s="1091"/>
      <c r="O841" s="1002"/>
      <c r="P841" s="412"/>
      <c r="Q841" s="412"/>
      <c r="R841" s="412"/>
      <c r="S841" s="412"/>
      <c r="T841" s="514"/>
      <c r="U841" s="507"/>
      <c r="V841" s="1015"/>
    </row>
    <row r="842" spans="1:22" ht="12.75">
      <c r="A842" s="1014"/>
      <c r="B842" s="1033"/>
      <c r="C842" s="1053"/>
      <c r="D842" s="1014"/>
      <c r="E842" s="544"/>
      <c r="F842" s="522"/>
      <c r="G842" s="545"/>
      <c r="H842" s="1015">
        <f>SUM(H838:H841)</f>
        <v>738.25</v>
      </c>
      <c r="I842" s="1017"/>
      <c r="J842" s="545"/>
      <c r="K842" s="545"/>
      <c r="L842" s="545"/>
      <c r="M842" s="545"/>
      <c r="N842" s="1015">
        <f>SUM(N838:N841)</f>
        <v>14.643749999999999</v>
      </c>
      <c r="O842" s="1017"/>
      <c r="P842" s="545"/>
      <c r="Q842" s="545"/>
      <c r="R842" s="545"/>
      <c r="S842" s="545"/>
      <c r="T842" s="545">
        <v>1.6</v>
      </c>
      <c r="U842" s="545">
        <f>T842+N842+H842</f>
        <v>754.49375</v>
      </c>
      <c r="V842" s="1015">
        <f>U842*$U$4</f>
        <v>1017.3175358215625</v>
      </c>
    </row>
    <row r="843" spans="1:22" ht="12.75">
      <c r="A843" s="1010"/>
      <c r="B843" s="1029"/>
      <c r="C843" s="1052"/>
      <c r="D843" s="1010"/>
      <c r="E843" s="413"/>
      <c r="F843" s="414"/>
      <c r="G843" s="414"/>
      <c r="H843" s="1057"/>
      <c r="I843" s="1002"/>
      <c r="J843" s="412"/>
      <c r="K843" s="414"/>
      <c r="L843" s="412"/>
      <c r="M843" s="412"/>
      <c r="N843" s="1091"/>
      <c r="O843" s="1002"/>
      <c r="P843" s="412"/>
      <c r="Q843" s="412"/>
      <c r="R843" s="412"/>
      <c r="S843" s="412"/>
      <c r="T843" s="514"/>
      <c r="U843" s="507"/>
      <c r="V843" s="1015"/>
    </row>
    <row r="844" spans="1:22" ht="12.75">
      <c r="A844" s="1010">
        <v>22</v>
      </c>
      <c r="B844" s="1029" t="s">
        <v>1961</v>
      </c>
      <c r="C844" s="1052"/>
      <c r="D844" s="1010" t="s">
        <v>1962</v>
      </c>
      <c r="E844" s="413" t="s">
        <v>1842</v>
      </c>
      <c r="F844" s="414">
        <v>1</v>
      </c>
      <c r="G844" s="414">
        <v>14</v>
      </c>
      <c r="H844" s="1059">
        <f>G844*F844</f>
        <v>14</v>
      </c>
      <c r="I844" s="1002" t="s">
        <v>1945</v>
      </c>
      <c r="J844" s="412">
        <v>1</v>
      </c>
      <c r="K844" s="414">
        <v>1</v>
      </c>
      <c r="L844" s="415">
        <f>L838</f>
        <v>7.9875</v>
      </c>
      <c r="M844" s="412">
        <v>1</v>
      </c>
      <c r="N844" s="1090">
        <f>K844*L844/M844</f>
        <v>7.9875</v>
      </c>
      <c r="O844" s="1002" t="s">
        <v>277</v>
      </c>
      <c r="P844" s="412">
        <v>4</v>
      </c>
      <c r="Q844" s="412">
        <v>1</v>
      </c>
      <c r="R844" s="412">
        <v>0.4</v>
      </c>
      <c r="S844" s="412">
        <v>1</v>
      </c>
      <c r="T844" s="515">
        <f>P844*Q844*R844/S844</f>
        <v>1.6</v>
      </c>
      <c r="U844" s="507"/>
      <c r="V844" s="1015"/>
    </row>
    <row r="845" spans="1:22" ht="12.75">
      <c r="A845" s="1010"/>
      <c r="B845" s="1029" t="s">
        <v>1789</v>
      </c>
      <c r="C845" s="1052"/>
      <c r="D845" s="1010" t="s">
        <v>2311</v>
      </c>
      <c r="E845" s="413" t="s">
        <v>2557</v>
      </c>
      <c r="F845" s="414">
        <v>10</v>
      </c>
      <c r="G845" s="414">
        <v>8</v>
      </c>
      <c r="H845" s="1059">
        <f>G845*F845</f>
        <v>80</v>
      </c>
      <c r="I845" s="1002" t="s">
        <v>1948</v>
      </c>
      <c r="J845" s="412">
        <v>1</v>
      </c>
      <c r="K845" s="414">
        <v>1</v>
      </c>
      <c r="L845" s="415">
        <f>L839</f>
        <v>3.55</v>
      </c>
      <c r="M845" s="412">
        <v>1</v>
      </c>
      <c r="N845" s="1090">
        <f>K845*L845/M845</f>
        <v>3.55</v>
      </c>
      <c r="O845" s="1002"/>
      <c r="P845" s="412"/>
      <c r="Q845" s="412"/>
      <c r="R845" s="412"/>
      <c r="S845" s="412"/>
      <c r="T845" s="515"/>
      <c r="U845" s="507"/>
      <c r="V845" s="1015"/>
    </row>
    <row r="846" spans="1:22" ht="12.75">
      <c r="A846" s="1010"/>
      <c r="B846" s="1029"/>
      <c r="C846" s="1052"/>
      <c r="D846" s="1010" t="s">
        <v>329</v>
      </c>
      <c r="E846" s="413" t="s">
        <v>2557</v>
      </c>
      <c r="F846" s="414">
        <v>5</v>
      </c>
      <c r="G846" s="414">
        <v>3</v>
      </c>
      <c r="H846" s="1059">
        <f>G846*F846</f>
        <v>15</v>
      </c>
      <c r="I846" s="1002" t="s">
        <v>2477</v>
      </c>
      <c r="J846" s="412">
        <v>1</v>
      </c>
      <c r="K846" s="414">
        <v>0.5</v>
      </c>
      <c r="L846" s="415">
        <f>L840</f>
        <v>6.2124999999999995</v>
      </c>
      <c r="M846" s="412">
        <v>1</v>
      </c>
      <c r="N846" s="1090">
        <f>K846*L846/M846</f>
        <v>3.1062499999999997</v>
      </c>
      <c r="O846" s="1002"/>
      <c r="P846" s="412"/>
      <c r="Q846" s="412"/>
      <c r="R846" s="412"/>
      <c r="S846" s="412"/>
      <c r="T846" s="515"/>
      <c r="U846" s="507"/>
      <c r="V846" s="1015"/>
    </row>
    <row r="847" spans="1:22" ht="12.75">
      <c r="A847" s="1010"/>
      <c r="B847" s="1029"/>
      <c r="C847" s="1052"/>
      <c r="D847" s="1010" t="s">
        <v>1788</v>
      </c>
      <c r="E847" s="413" t="s">
        <v>1842</v>
      </c>
      <c r="F847" s="414">
        <v>1</v>
      </c>
      <c r="G847" s="414">
        <v>0.75</v>
      </c>
      <c r="H847" s="1059">
        <f>G847*F847</f>
        <v>0.75</v>
      </c>
      <c r="I847" s="1002"/>
      <c r="J847" s="412"/>
      <c r="K847" s="414"/>
      <c r="L847" s="412"/>
      <c r="M847" s="412"/>
      <c r="N847" s="1091"/>
      <c r="O847" s="1002"/>
      <c r="P847" s="412"/>
      <c r="Q847" s="412"/>
      <c r="R847" s="412"/>
      <c r="S847" s="412"/>
      <c r="T847" s="515"/>
      <c r="U847" s="507"/>
      <c r="V847" s="1015"/>
    </row>
    <row r="848" spans="1:22" ht="12.75">
      <c r="A848" s="1014"/>
      <c r="B848" s="1033"/>
      <c r="C848" s="1053"/>
      <c r="D848" s="1014"/>
      <c r="E848" s="544"/>
      <c r="F848" s="522"/>
      <c r="G848" s="545"/>
      <c r="H848" s="1015">
        <f>SUM(H844:H847)</f>
        <v>109.75</v>
      </c>
      <c r="I848" s="1017"/>
      <c r="J848" s="545"/>
      <c r="K848" s="545"/>
      <c r="L848" s="545"/>
      <c r="M848" s="545"/>
      <c r="N848" s="1015">
        <f>SUM(N844:N847)</f>
        <v>14.643749999999999</v>
      </c>
      <c r="O848" s="1017"/>
      <c r="P848" s="545"/>
      <c r="Q848" s="545"/>
      <c r="R848" s="545"/>
      <c r="S848" s="545"/>
      <c r="T848" s="545">
        <v>1.6</v>
      </c>
      <c r="U848" s="545">
        <f>T848+N848+H848</f>
        <v>125.99375</v>
      </c>
      <c r="V848" s="1015">
        <f>U848*$U$4</f>
        <v>169.8829861465625</v>
      </c>
    </row>
    <row r="849" spans="1:22" ht="12.75">
      <c r="A849" s="1010"/>
      <c r="B849" s="1029"/>
      <c r="C849" s="1052"/>
      <c r="D849" s="1010"/>
      <c r="E849" s="413"/>
      <c r="F849" s="414"/>
      <c r="G849" s="414"/>
      <c r="H849" s="1057"/>
      <c r="I849" s="1002"/>
      <c r="J849" s="412"/>
      <c r="K849" s="414"/>
      <c r="L849" s="412"/>
      <c r="M849" s="412"/>
      <c r="N849" s="1091"/>
      <c r="O849" s="1002"/>
      <c r="P849" s="412"/>
      <c r="Q849" s="412"/>
      <c r="R849" s="412"/>
      <c r="S849" s="412"/>
      <c r="T849" s="514"/>
      <c r="U849" s="507"/>
      <c r="V849" s="1015"/>
    </row>
    <row r="850" spans="1:22" ht="12.75">
      <c r="A850" s="1010">
        <v>23</v>
      </c>
      <c r="B850" s="1029" t="s">
        <v>1790</v>
      </c>
      <c r="C850" s="1052"/>
      <c r="D850" s="1010" t="s">
        <v>1962</v>
      </c>
      <c r="E850" s="413" t="s">
        <v>1842</v>
      </c>
      <c r="F850" s="414">
        <v>1</v>
      </c>
      <c r="G850" s="414">
        <v>14</v>
      </c>
      <c r="H850" s="1059">
        <f>G850*F850</f>
        <v>14</v>
      </c>
      <c r="I850" s="1002" t="s">
        <v>1945</v>
      </c>
      <c r="J850" s="412">
        <v>1</v>
      </c>
      <c r="K850" s="414">
        <v>1</v>
      </c>
      <c r="L850" s="415">
        <f>L844</f>
        <v>7.9875</v>
      </c>
      <c r="M850" s="412">
        <v>1</v>
      </c>
      <c r="N850" s="1091">
        <f>K850*L850/M850</f>
        <v>7.9875</v>
      </c>
      <c r="O850" s="1002" t="s">
        <v>277</v>
      </c>
      <c r="P850" s="412">
        <v>4</v>
      </c>
      <c r="Q850" s="412">
        <v>1</v>
      </c>
      <c r="R850" s="412">
        <v>0.4</v>
      </c>
      <c r="S850" s="412">
        <v>1</v>
      </c>
      <c r="T850" s="515">
        <f>P850*Q850*R850/S850</f>
        <v>1.6</v>
      </c>
      <c r="U850" s="507"/>
      <c r="V850" s="1015"/>
    </row>
    <row r="851" spans="1:22" ht="12.75">
      <c r="A851" s="1010"/>
      <c r="B851" s="1029"/>
      <c r="C851" s="1052"/>
      <c r="D851" s="1010" t="s">
        <v>2311</v>
      </c>
      <c r="E851" s="413" t="s">
        <v>2557</v>
      </c>
      <c r="F851" s="414">
        <v>4.7</v>
      </c>
      <c r="G851" s="414">
        <v>5</v>
      </c>
      <c r="H851" s="1059">
        <f>F851*G851</f>
        <v>23.5</v>
      </c>
      <c r="I851" s="1002" t="s">
        <v>1948</v>
      </c>
      <c r="J851" s="412">
        <v>1</v>
      </c>
      <c r="K851" s="414">
        <v>1</v>
      </c>
      <c r="L851" s="415">
        <f>L845</f>
        <v>3.55</v>
      </c>
      <c r="M851" s="412">
        <v>1</v>
      </c>
      <c r="N851" s="1091">
        <f>K851*L851/M851</f>
        <v>3.55</v>
      </c>
      <c r="O851" s="1002"/>
      <c r="P851" s="412"/>
      <c r="Q851" s="412"/>
      <c r="R851" s="412"/>
      <c r="S851" s="412"/>
      <c r="T851" s="514"/>
      <c r="U851" s="507"/>
      <c r="V851" s="1015"/>
    </row>
    <row r="852" spans="1:22" ht="12.75">
      <c r="A852" s="1010"/>
      <c r="B852" s="1029"/>
      <c r="C852" s="1052"/>
      <c r="D852" s="1010" t="s">
        <v>329</v>
      </c>
      <c r="E852" s="413" t="s">
        <v>2557</v>
      </c>
      <c r="F852" s="414">
        <v>2.4</v>
      </c>
      <c r="G852" s="414">
        <v>3</v>
      </c>
      <c r="H852" s="1059">
        <f>F852*G852</f>
        <v>7.199999999999999</v>
      </c>
      <c r="I852" s="1002" t="s">
        <v>2477</v>
      </c>
      <c r="J852" s="412">
        <v>1</v>
      </c>
      <c r="K852" s="414">
        <v>0.5</v>
      </c>
      <c r="L852" s="415">
        <f>L846</f>
        <v>6.2124999999999995</v>
      </c>
      <c r="M852" s="412">
        <v>1</v>
      </c>
      <c r="N852" s="1091">
        <f>K852*L852/M852</f>
        <v>3.1062499999999997</v>
      </c>
      <c r="O852" s="1002"/>
      <c r="P852" s="412"/>
      <c r="Q852" s="412"/>
      <c r="R852" s="412"/>
      <c r="S852" s="412"/>
      <c r="T852" s="514"/>
      <c r="U852" s="507"/>
      <c r="V852" s="1015"/>
    </row>
    <row r="853" spans="1:22" ht="12.75">
      <c r="A853" s="1010"/>
      <c r="B853" s="1029"/>
      <c r="C853" s="1052"/>
      <c r="D853" s="1010" t="s">
        <v>1788</v>
      </c>
      <c r="E853" s="413" t="s">
        <v>1842</v>
      </c>
      <c r="F853" s="414">
        <v>0.33</v>
      </c>
      <c r="G853" s="414">
        <v>0.75</v>
      </c>
      <c r="H853" s="1059">
        <f>F853*G853</f>
        <v>0.2475</v>
      </c>
      <c r="I853" s="1002"/>
      <c r="J853" s="412"/>
      <c r="K853" s="414"/>
      <c r="L853" s="412"/>
      <c r="M853" s="412"/>
      <c r="N853" s="1091"/>
      <c r="O853" s="1002"/>
      <c r="P853" s="412"/>
      <c r="Q853" s="412"/>
      <c r="R853" s="412"/>
      <c r="S853" s="412"/>
      <c r="T853" s="514"/>
      <c r="U853" s="507"/>
      <c r="V853" s="1015"/>
    </row>
    <row r="854" spans="1:22" ht="12.75">
      <c r="A854" s="1014"/>
      <c r="B854" s="1033"/>
      <c r="C854" s="1053"/>
      <c r="D854" s="1014"/>
      <c r="E854" s="544"/>
      <c r="F854" s="545"/>
      <c r="G854" s="545"/>
      <c r="H854" s="1015">
        <f>SUM(H850:H853)</f>
        <v>44.947500000000005</v>
      </c>
      <c r="I854" s="1017"/>
      <c r="J854" s="545"/>
      <c r="K854" s="545"/>
      <c r="L854" s="545"/>
      <c r="M854" s="545"/>
      <c r="N854" s="1015">
        <f>SUM(N850:N853)</f>
        <v>14.643749999999999</v>
      </c>
      <c r="O854" s="1017"/>
      <c r="P854" s="545"/>
      <c r="Q854" s="545"/>
      <c r="R854" s="545"/>
      <c r="S854" s="545"/>
      <c r="T854" s="545">
        <f>SUM(T850:T853)</f>
        <v>1.6</v>
      </c>
      <c r="U854" s="545">
        <f>T854+N854+H854</f>
        <v>61.191250000000004</v>
      </c>
      <c r="V854" s="1015">
        <f>U854*$U$4</f>
        <v>82.5068884451875</v>
      </c>
    </row>
    <row r="855" spans="1:22" ht="12.75">
      <c r="A855" s="1010"/>
      <c r="B855" s="1029"/>
      <c r="C855" s="1052"/>
      <c r="D855" s="1010"/>
      <c r="E855" s="413"/>
      <c r="F855" s="414"/>
      <c r="G855" s="414"/>
      <c r="H855" s="1057"/>
      <c r="I855" s="1002"/>
      <c r="J855" s="412"/>
      <c r="K855" s="414"/>
      <c r="L855" s="412"/>
      <c r="M855" s="412"/>
      <c r="N855" s="1091"/>
      <c r="O855" s="1002"/>
      <c r="P855" s="412"/>
      <c r="Q855" s="412"/>
      <c r="R855" s="412"/>
      <c r="S855" s="412"/>
      <c r="T855" s="514"/>
      <c r="U855" s="507"/>
      <c r="V855" s="1015"/>
    </row>
    <row r="856" spans="1:22" ht="12.75">
      <c r="A856" s="1010">
        <v>24</v>
      </c>
      <c r="B856" s="1029" t="s">
        <v>1791</v>
      </c>
      <c r="C856" s="1052"/>
      <c r="D856" s="1010" t="s">
        <v>1960</v>
      </c>
      <c r="E856" s="413" t="s">
        <v>1842</v>
      </c>
      <c r="F856" s="414">
        <v>1</v>
      </c>
      <c r="G856" s="414">
        <v>14</v>
      </c>
      <c r="H856" s="1059">
        <f>G856*F856</f>
        <v>14</v>
      </c>
      <c r="I856" s="1002" t="s">
        <v>1945</v>
      </c>
      <c r="J856" s="412">
        <v>1</v>
      </c>
      <c r="K856" s="414">
        <v>1</v>
      </c>
      <c r="L856" s="415">
        <f>L850</f>
        <v>7.9875</v>
      </c>
      <c r="M856" s="412">
        <v>1</v>
      </c>
      <c r="N856" s="1090">
        <f>K856*L856/M856</f>
        <v>7.9875</v>
      </c>
      <c r="O856" s="1002" t="s">
        <v>277</v>
      </c>
      <c r="P856" s="412">
        <v>4</v>
      </c>
      <c r="Q856" s="412">
        <v>1</v>
      </c>
      <c r="R856" s="412">
        <v>0.4</v>
      </c>
      <c r="S856" s="412">
        <v>1</v>
      </c>
      <c r="T856" s="515">
        <f>P856*Q856*R856/S856</f>
        <v>1.6</v>
      </c>
      <c r="U856" s="507"/>
      <c r="V856" s="1015"/>
    </row>
    <row r="857" spans="1:22" ht="12.75">
      <c r="A857" s="1010"/>
      <c r="B857" s="1029"/>
      <c r="C857" s="1052"/>
      <c r="D857" s="1010" t="s">
        <v>1964</v>
      </c>
      <c r="E857" s="413" t="s">
        <v>2557</v>
      </c>
      <c r="F857" s="414">
        <v>8</v>
      </c>
      <c r="G857" s="414">
        <v>5</v>
      </c>
      <c r="H857" s="1059">
        <f>F857*G857</f>
        <v>40</v>
      </c>
      <c r="I857" s="1002" t="s">
        <v>1948</v>
      </c>
      <c r="J857" s="412">
        <v>1</v>
      </c>
      <c r="K857" s="414">
        <v>1</v>
      </c>
      <c r="L857" s="415">
        <f>L851</f>
        <v>3.55</v>
      </c>
      <c r="M857" s="412">
        <v>1</v>
      </c>
      <c r="N857" s="1090">
        <f>K857*L857/M857</f>
        <v>3.55</v>
      </c>
      <c r="O857" s="1002"/>
      <c r="P857" s="412"/>
      <c r="Q857" s="412"/>
      <c r="R857" s="412"/>
      <c r="S857" s="412"/>
      <c r="T857" s="515"/>
      <c r="U857" s="507"/>
      <c r="V857" s="1015"/>
    </row>
    <row r="858" spans="1:22" ht="12.75">
      <c r="A858" s="1010"/>
      <c r="B858" s="1029"/>
      <c r="C858" s="1052"/>
      <c r="D858" s="1010" t="s">
        <v>329</v>
      </c>
      <c r="E858" s="413" t="s">
        <v>2557</v>
      </c>
      <c r="F858" s="414">
        <v>4</v>
      </c>
      <c r="G858" s="414">
        <v>3</v>
      </c>
      <c r="H858" s="1059">
        <f>F858*G858</f>
        <v>12</v>
      </c>
      <c r="I858" s="1002" t="s">
        <v>2477</v>
      </c>
      <c r="J858" s="412">
        <v>1</v>
      </c>
      <c r="K858" s="414">
        <v>0.5</v>
      </c>
      <c r="L858" s="415">
        <f>L852</f>
        <v>6.2124999999999995</v>
      </c>
      <c r="M858" s="412">
        <v>1</v>
      </c>
      <c r="N858" s="1090">
        <f>K858*L858/M858</f>
        <v>3.1062499999999997</v>
      </c>
      <c r="O858" s="1002"/>
      <c r="P858" s="412"/>
      <c r="Q858" s="412"/>
      <c r="R858" s="412"/>
      <c r="S858" s="412"/>
      <c r="T858" s="515"/>
      <c r="U858" s="507"/>
      <c r="V858" s="1015"/>
    </row>
    <row r="859" spans="1:22" ht="12.75">
      <c r="A859" s="1010"/>
      <c r="B859" s="1029"/>
      <c r="C859" s="1052"/>
      <c r="D859" s="1010" t="s">
        <v>1788</v>
      </c>
      <c r="E859" s="413" t="s">
        <v>1842</v>
      </c>
      <c r="F859" s="414">
        <v>1</v>
      </c>
      <c r="G859" s="414">
        <v>0.75</v>
      </c>
      <c r="H859" s="1059">
        <f>F859*G859</f>
        <v>0.75</v>
      </c>
      <c r="I859" s="1002"/>
      <c r="J859" s="412"/>
      <c r="K859" s="414"/>
      <c r="L859" s="412"/>
      <c r="M859" s="412"/>
      <c r="N859" s="1091"/>
      <c r="O859" s="1002"/>
      <c r="P859" s="412"/>
      <c r="Q859" s="412"/>
      <c r="R859" s="412"/>
      <c r="S859" s="412"/>
      <c r="T859" s="515"/>
      <c r="U859" s="507"/>
      <c r="V859" s="1015"/>
    </row>
    <row r="860" spans="1:22" ht="12.75">
      <c r="A860" s="1014"/>
      <c r="B860" s="1033"/>
      <c r="C860" s="1053"/>
      <c r="D860" s="1014"/>
      <c r="E860" s="544"/>
      <c r="F860" s="545"/>
      <c r="G860" s="545"/>
      <c r="H860" s="1015">
        <f>SUM(H856:H859)</f>
        <v>66.75</v>
      </c>
      <c r="I860" s="1017"/>
      <c r="J860" s="545"/>
      <c r="K860" s="545"/>
      <c r="L860" s="545"/>
      <c r="M860" s="545"/>
      <c r="N860" s="1015">
        <f>SUM(N856:N859)</f>
        <v>14.643749999999999</v>
      </c>
      <c r="O860" s="1017"/>
      <c r="P860" s="545"/>
      <c r="Q860" s="545"/>
      <c r="R860" s="545"/>
      <c r="S860" s="545"/>
      <c r="T860" s="545">
        <f>SUM(T856:T859)</f>
        <v>1.6</v>
      </c>
      <c r="U860" s="545">
        <f>T860+N860+H860</f>
        <v>82.99375</v>
      </c>
      <c r="V860" s="1015">
        <f>U860*$U$4</f>
        <v>111.9041704965625</v>
      </c>
    </row>
    <row r="861" spans="1:22" ht="12.75">
      <c r="A861" s="1010"/>
      <c r="B861" s="1029"/>
      <c r="C861" s="1052"/>
      <c r="D861" s="1010"/>
      <c r="E861" s="413"/>
      <c r="F861" s="414"/>
      <c r="G861" s="414"/>
      <c r="H861" s="1057"/>
      <c r="I861" s="1002"/>
      <c r="J861" s="412"/>
      <c r="K861" s="414"/>
      <c r="L861" s="412"/>
      <c r="M861" s="412"/>
      <c r="N861" s="1091"/>
      <c r="O861" s="1002"/>
      <c r="P861" s="412"/>
      <c r="Q861" s="412"/>
      <c r="R861" s="412"/>
      <c r="S861" s="412"/>
      <c r="T861" s="514"/>
      <c r="U861" s="507"/>
      <c r="V861" s="1015"/>
    </row>
    <row r="862" spans="1:22" ht="12.75">
      <c r="A862" s="1010">
        <v>25</v>
      </c>
      <c r="B862" s="1029" t="s">
        <v>1792</v>
      </c>
      <c r="C862" s="1052"/>
      <c r="D862" s="1010" t="s">
        <v>1793</v>
      </c>
      <c r="E862" s="413"/>
      <c r="F862" s="414">
        <v>1</v>
      </c>
      <c r="G862" s="414">
        <f>15*3</f>
        <v>45</v>
      </c>
      <c r="H862" s="1059">
        <f>F862*G862</f>
        <v>45</v>
      </c>
      <c r="I862" s="1002" t="s">
        <v>1945</v>
      </c>
      <c r="J862" s="412">
        <v>1</v>
      </c>
      <c r="K862" s="414">
        <v>1</v>
      </c>
      <c r="L862" s="415">
        <f>L856</f>
        <v>7.9875</v>
      </c>
      <c r="M862" s="412">
        <v>1</v>
      </c>
      <c r="N862" s="1090">
        <f>K862*L862/M862</f>
        <v>7.9875</v>
      </c>
      <c r="O862" s="1002" t="s">
        <v>277</v>
      </c>
      <c r="P862" s="412">
        <v>4</v>
      </c>
      <c r="Q862" s="412">
        <v>1</v>
      </c>
      <c r="R862" s="412">
        <v>0.4</v>
      </c>
      <c r="S862" s="412">
        <v>1</v>
      </c>
      <c r="T862" s="515">
        <f>P862*Q862*R862/S862</f>
        <v>1.6</v>
      </c>
      <c r="U862" s="507"/>
      <c r="V862" s="1015"/>
    </row>
    <row r="863" spans="1:22" ht="12.75">
      <c r="A863" s="1010"/>
      <c r="B863" s="1029" t="s">
        <v>1794</v>
      </c>
      <c r="C863" s="1052"/>
      <c r="D863" s="1010" t="s">
        <v>329</v>
      </c>
      <c r="E863" s="413" t="s">
        <v>2557</v>
      </c>
      <c r="F863" s="414">
        <v>4</v>
      </c>
      <c r="G863" s="414">
        <f>(3+20)*2</f>
        <v>46</v>
      </c>
      <c r="H863" s="1059">
        <f>F863*G863</f>
        <v>184</v>
      </c>
      <c r="I863" s="1002" t="s">
        <v>1948</v>
      </c>
      <c r="J863" s="412">
        <v>1</v>
      </c>
      <c r="K863" s="414">
        <v>1</v>
      </c>
      <c r="L863" s="415">
        <f>L857</f>
        <v>3.55</v>
      </c>
      <c r="M863" s="412">
        <v>1</v>
      </c>
      <c r="N863" s="1090">
        <f>K863*L863/M863</f>
        <v>3.55</v>
      </c>
      <c r="O863" s="1002"/>
      <c r="P863" s="412"/>
      <c r="Q863" s="412"/>
      <c r="R863" s="412"/>
      <c r="S863" s="412"/>
      <c r="T863" s="514"/>
      <c r="U863" s="507"/>
      <c r="V863" s="1015"/>
    </row>
    <row r="864" spans="1:22" ht="12.75">
      <c r="A864" s="1010"/>
      <c r="B864" s="1029"/>
      <c r="C864" s="1052"/>
      <c r="D864" s="1010" t="s">
        <v>1788</v>
      </c>
      <c r="E864" s="413" t="s">
        <v>1842</v>
      </c>
      <c r="F864" s="414">
        <v>1</v>
      </c>
      <c r="G864" s="414">
        <v>0.75</v>
      </c>
      <c r="H864" s="1059">
        <f>F864*G864</f>
        <v>0.75</v>
      </c>
      <c r="I864" s="1002" t="s">
        <v>2477</v>
      </c>
      <c r="J864" s="412">
        <v>1</v>
      </c>
      <c r="K864" s="414">
        <v>0.5</v>
      </c>
      <c r="L864" s="415">
        <f>L858</f>
        <v>6.2124999999999995</v>
      </c>
      <c r="M864" s="412">
        <v>1</v>
      </c>
      <c r="N864" s="1090">
        <f>K864*L864/M864</f>
        <v>3.1062499999999997</v>
      </c>
      <c r="O864" s="1002"/>
      <c r="P864" s="412"/>
      <c r="Q864" s="412"/>
      <c r="R864" s="412"/>
      <c r="S864" s="412"/>
      <c r="T864" s="514"/>
      <c r="U864" s="507"/>
      <c r="V864" s="1015"/>
    </row>
    <row r="865" spans="1:22" ht="12.75">
      <c r="A865" s="1014"/>
      <c r="B865" s="1033"/>
      <c r="C865" s="1053"/>
      <c r="D865" s="1014"/>
      <c r="E865" s="544"/>
      <c r="F865" s="545"/>
      <c r="G865" s="545"/>
      <c r="H865" s="1015">
        <f>SUM(H862:H864)</f>
        <v>229.75</v>
      </c>
      <c r="I865" s="1017"/>
      <c r="J865" s="545"/>
      <c r="K865" s="545"/>
      <c r="L865" s="545"/>
      <c r="M865" s="545"/>
      <c r="N865" s="1015">
        <f>SUM(N862:N864)</f>
        <v>14.643749999999999</v>
      </c>
      <c r="O865" s="1017"/>
      <c r="P865" s="545"/>
      <c r="Q865" s="545"/>
      <c r="R865" s="545"/>
      <c r="S865" s="545"/>
      <c r="T865" s="545">
        <f>SUM(T862:T864)</f>
        <v>1.6</v>
      </c>
      <c r="U865" s="545">
        <f>T865+N865+H865</f>
        <v>245.99375</v>
      </c>
      <c r="V865" s="1015">
        <f>U865*$U$4</f>
        <v>331.6843321465625</v>
      </c>
    </row>
    <row r="866" spans="1:22" ht="12.75">
      <c r="A866" s="1010"/>
      <c r="B866" s="1029"/>
      <c r="C866" s="1052"/>
      <c r="D866" s="1010"/>
      <c r="E866" s="413"/>
      <c r="F866" s="414"/>
      <c r="G866" s="414"/>
      <c r="H866" s="1057"/>
      <c r="I866" s="1002"/>
      <c r="J866" s="412"/>
      <c r="K866" s="414"/>
      <c r="L866" s="412"/>
      <c r="M866" s="412"/>
      <c r="N866" s="1091"/>
      <c r="O866" s="1002"/>
      <c r="P866" s="412"/>
      <c r="Q866" s="412"/>
      <c r="R866" s="412"/>
      <c r="S866" s="412"/>
      <c r="T866" s="514"/>
      <c r="U866" s="507"/>
      <c r="V866" s="1015"/>
    </row>
    <row r="867" spans="1:22" ht="12.75">
      <c r="A867" s="1010">
        <v>26</v>
      </c>
      <c r="B867" s="1029" t="s">
        <v>1795</v>
      </c>
      <c r="C867" s="1052"/>
      <c r="D867" s="1010" t="s">
        <v>1796</v>
      </c>
      <c r="E867" s="413"/>
      <c r="F867" s="414"/>
      <c r="G867" s="414"/>
      <c r="H867" s="1057"/>
      <c r="I867" s="1002"/>
      <c r="J867" s="412"/>
      <c r="K867" s="414"/>
      <c r="L867" s="412"/>
      <c r="M867" s="412"/>
      <c r="N867" s="1091"/>
      <c r="O867" s="1002"/>
      <c r="P867" s="412"/>
      <c r="Q867" s="412"/>
      <c r="R867" s="412"/>
      <c r="S867" s="412"/>
      <c r="T867" s="514"/>
      <c r="U867" s="507"/>
      <c r="V867" s="1015"/>
    </row>
    <row r="868" spans="1:22" ht="12.75">
      <c r="A868" s="1010"/>
      <c r="B868" s="1029"/>
      <c r="C868" s="1052"/>
      <c r="D868" s="1010" t="s">
        <v>1797</v>
      </c>
      <c r="E868" s="413" t="s">
        <v>2557</v>
      </c>
      <c r="F868" s="414">
        <v>8</v>
      </c>
      <c r="G868" s="414">
        <f>6*3</f>
        <v>18</v>
      </c>
      <c r="H868" s="1059">
        <f>F868*G868</f>
        <v>144</v>
      </c>
      <c r="I868" s="1002" t="s">
        <v>1945</v>
      </c>
      <c r="J868" s="412">
        <v>1</v>
      </c>
      <c r="K868" s="414">
        <v>1</v>
      </c>
      <c r="L868" s="415">
        <f>L862</f>
        <v>7.9875</v>
      </c>
      <c r="M868" s="412">
        <v>1</v>
      </c>
      <c r="N868" s="1090">
        <f>K868*L868/M868</f>
        <v>7.9875</v>
      </c>
      <c r="O868" s="1002" t="s">
        <v>277</v>
      </c>
      <c r="P868" s="412">
        <v>4</v>
      </c>
      <c r="Q868" s="412">
        <v>1</v>
      </c>
      <c r="R868" s="412">
        <v>0.4</v>
      </c>
      <c r="S868" s="412">
        <v>1</v>
      </c>
      <c r="T868" s="515">
        <f>P868*Q868*R868/S868</f>
        <v>1.6</v>
      </c>
      <c r="U868" s="507"/>
      <c r="V868" s="1015"/>
    </row>
    <row r="869" spans="1:22" ht="12.75">
      <c r="A869" s="1010"/>
      <c r="B869" s="1029"/>
      <c r="C869" s="1052"/>
      <c r="D869" s="1010" t="s">
        <v>329</v>
      </c>
      <c r="E869" s="413" t="s">
        <v>2557</v>
      </c>
      <c r="F869" s="414">
        <v>4</v>
      </c>
      <c r="G869" s="414">
        <f>3*2</f>
        <v>6</v>
      </c>
      <c r="H869" s="1059">
        <f>F869*G869</f>
        <v>24</v>
      </c>
      <c r="I869" s="1002" t="s">
        <v>1948</v>
      </c>
      <c r="J869" s="412">
        <v>1</v>
      </c>
      <c r="K869" s="414">
        <v>1</v>
      </c>
      <c r="L869" s="415">
        <f>L863</f>
        <v>3.55</v>
      </c>
      <c r="M869" s="412">
        <v>1</v>
      </c>
      <c r="N869" s="1090">
        <f>K869*L869/M869</f>
        <v>3.55</v>
      </c>
      <c r="O869" s="1002"/>
      <c r="P869" s="412"/>
      <c r="Q869" s="412"/>
      <c r="R869" s="412"/>
      <c r="S869" s="412"/>
      <c r="T869" s="514"/>
      <c r="U869" s="507"/>
      <c r="V869" s="1015"/>
    </row>
    <row r="870" spans="1:22" ht="12.75">
      <c r="A870" s="1010"/>
      <c r="B870" s="1029"/>
      <c r="C870" s="1052"/>
      <c r="D870" s="1010" t="s">
        <v>1788</v>
      </c>
      <c r="E870" s="413" t="s">
        <v>1842</v>
      </c>
      <c r="F870" s="414">
        <v>0.5</v>
      </c>
      <c r="G870" s="414">
        <v>0.75</v>
      </c>
      <c r="H870" s="1059">
        <f>F870*G870</f>
        <v>0.375</v>
      </c>
      <c r="I870" s="1002" t="s">
        <v>2477</v>
      </c>
      <c r="J870" s="412">
        <v>1</v>
      </c>
      <c r="K870" s="414">
        <v>0.5</v>
      </c>
      <c r="L870" s="415">
        <f>L864</f>
        <v>6.2124999999999995</v>
      </c>
      <c r="M870" s="412">
        <v>1</v>
      </c>
      <c r="N870" s="1090">
        <f>K870*L870/M870</f>
        <v>3.1062499999999997</v>
      </c>
      <c r="O870" s="1002"/>
      <c r="P870" s="412"/>
      <c r="Q870" s="412"/>
      <c r="R870" s="412"/>
      <c r="S870" s="412"/>
      <c r="T870" s="514"/>
      <c r="U870" s="507"/>
      <c r="V870" s="1015"/>
    </row>
    <row r="871" spans="1:22" ht="12.75">
      <c r="A871" s="1014"/>
      <c r="B871" s="1033"/>
      <c r="C871" s="1053"/>
      <c r="D871" s="1014"/>
      <c r="E871" s="544"/>
      <c r="F871" s="545"/>
      <c r="G871" s="545"/>
      <c r="H871" s="1015">
        <f>SUM(H868:H870)</f>
        <v>168.375</v>
      </c>
      <c r="I871" s="1017"/>
      <c r="J871" s="545"/>
      <c r="K871" s="545"/>
      <c r="L871" s="545"/>
      <c r="M871" s="545"/>
      <c r="N871" s="1015">
        <f>SUM(N868:N870)</f>
        <v>14.643749999999999</v>
      </c>
      <c r="O871" s="1017"/>
      <c r="P871" s="545"/>
      <c r="Q871" s="545"/>
      <c r="R871" s="545"/>
      <c r="S871" s="545"/>
      <c r="T871" s="545">
        <v>1.6</v>
      </c>
      <c r="U871" s="545">
        <f>T871+N871+H871</f>
        <v>184.61875</v>
      </c>
      <c r="V871" s="1015">
        <f>U871*$U$4</f>
        <v>248.9296853903125</v>
      </c>
    </row>
    <row r="872" spans="1:22" ht="12.75">
      <c r="A872" s="1010"/>
      <c r="B872" s="1029"/>
      <c r="C872" s="1052"/>
      <c r="D872" s="1010"/>
      <c r="E872" s="413"/>
      <c r="F872" s="414"/>
      <c r="G872" s="414"/>
      <c r="H872" s="1057"/>
      <c r="I872" s="1002"/>
      <c r="J872" s="412"/>
      <c r="K872" s="414"/>
      <c r="L872" s="412"/>
      <c r="M872" s="412"/>
      <c r="N872" s="1091"/>
      <c r="O872" s="1002"/>
      <c r="P872" s="412"/>
      <c r="Q872" s="412"/>
      <c r="R872" s="412"/>
      <c r="S872" s="412"/>
      <c r="T872" s="514"/>
      <c r="U872" s="507"/>
      <c r="V872" s="1015"/>
    </row>
    <row r="873" spans="1:22" ht="12.75">
      <c r="A873" s="1010">
        <v>27</v>
      </c>
      <c r="B873" s="1029" t="s">
        <v>1798</v>
      </c>
      <c r="C873" s="1052"/>
      <c r="D873" s="1010" t="s">
        <v>1800</v>
      </c>
      <c r="E873" s="413" t="s">
        <v>1842</v>
      </c>
      <c r="F873" s="414">
        <v>1.1</v>
      </c>
      <c r="G873" s="414">
        <v>130.43</v>
      </c>
      <c r="H873" s="1057">
        <f>G873*F873</f>
        <v>143.473</v>
      </c>
      <c r="I873" s="1002" t="s">
        <v>1945</v>
      </c>
      <c r="J873" s="412">
        <v>1</v>
      </c>
      <c r="K873" s="414">
        <v>1</v>
      </c>
      <c r="L873" s="415">
        <f>L868</f>
        <v>7.9875</v>
      </c>
      <c r="M873" s="412">
        <v>1</v>
      </c>
      <c r="N873" s="1090">
        <f>K873*L873/M873</f>
        <v>7.9875</v>
      </c>
      <c r="O873" s="1002" t="s">
        <v>277</v>
      </c>
      <c r="P873" s="412">
        <v>4</v>
      </c>
      <c r="Q873" s="412">
        <v>1</v>
      </c>
      <c r="R873" s="412">
        <v>0.4</v>
      </c>
      <c r="S873" s="412">
        <v>1</v>
      </c>
      <c r="T873" s="515">
        <f>P873*Q873*R873/S873</f>
        <v>1.6</v>
      </c>
      <c r="U873" s="507"/>
      <c r="V873" s="1015"/>
    </row>
    <row r="874" spans="1:22" ht="12.75">
      <c r="A874" s="1010"/>
      <c r="B874" s="1029" t="s">
        <v>1799</v>
      </c>
      <c r="C874" s="1052"/>
      <c r="D874" s="1010" t="s">
        <v>2847</v>
      </c>
      <c r="E874" s="413" t="s">
        <v>1842</v>
      </c>
      <c r="F874" s="414">
        <v>1</v>
      </c>
      <c r="G874" s="414">
        <v>826.09</v>
      </c>
      <c r="H874" s="1057">
        <f>G874*F874</f>
        <v>826.09</v>
      </c>
      <c r="I874" s="1002" t="s">
        <v>1948</v>
      </c>
      <c r="J874" s="412">
        <v>1</v>
      </c>
      <c r="K874" s="414">
        <v>1</v>
      </c>
      <c r="L874" s="415">
        <f>L869</f>
        <v>3.55</v>
      </c>
      <c r="M874" s="412">
        <v>1</v>
      </c>
      <c r="N874" s="1090">
        <f>K874*L874/M874</f>
        <v>3.55</v>
      </c>
      <c r="O874" s="1002"/>
      <c r="P874" s="412"/>
      <c r="Q874" s="412"/>
      <c r="R874" s="412"/>
      <c r="S874" s="412"/>
      <c r="T874" s="514"/>
      <c r="U874" s="507"/>
      <c r="V874" s="1015"/>
    </row>
    <row r="875" spans="1:22" ht="12.75">
      <c r="A875" s="1010"/>
      <c r="B875" s="1029"/>
      <c r="C875" s="1052"/>
      <c r="D875" s="1010"/>
      <c r="E875" s="413"/>
      <c r="F875" s="414"/>
      <c r="G875" s="414"/>
      <c r="H875" s="1057"/>
      <c r="I875" s="1002" t="s">
        <v>1857</v>
      </c>
      <c r="J875" s="412">
        <v>1</v>
      </c>
      <c r="K875" s="414">
        <v>0.5</v>
      </c>
      <c r="L875" s="415">
        <f>L870</f>
        <v>6.2124999999999995</v>
      </c>
      <c r="M875" s="412">
        <v>1</v>
      </c>
      <c r="N875" s="1090">
        <f>K875*L875/M875</f>
        <v>3.1062499999999997</v>
      </c>
      <c r="O875" s="1002"/>
      <c r="P875" s="412"/>
      <c r="Q875" s="412"/>
      <c r="R875" s="412"/>
      <c r="S875" s="412"/>
      <c r="T875" s="514"/>
      <c r="U875" s="507"/>
      <c r="V875" s="1015"/>
    </row>
    <row r="876" spans="1:22" ht="12.75">
      <c r="A876" s="1014"/>
      <c r="B876" s="1033"/>
      <c r="C876" s="1053"/>
      <c r="D876" s="1014"/>
      <c r="E876" s="544"/>
      <c r="F876" s="545"/>
      <c r="G876" s="545"/>
      <c r="H876" s="1015">
        <f>SUM(H873:H875)</f>
        <v>969.5630000000001</v>
      </c>
      <c r="I876" s="1017"/>
      <c r="J876" s="545"/>
      <c r="K876" s="545"/>
      <c r="L876" s="545"/>
      <c r="M876" s="545"/>
      <c r="N876" s="1015">
        <f>SUM(N873:N875)</f>
        <v>14.643749999999999</v>
      </c>
      <c r="O876" s="1017"/>
      <c r="P876" s="545"/>
      <c r="Q876" s="545"/>
      <c r="R876" s="545"/>
      <c r="S876" s="545"/>
      <c r="T876" s="545">
        <f>SUM(T873:T875)</f>
        <v>1.6</v>
      </c>
      <c r="U876" s="545">
        <f>T876+N876+H876</f>
        <v>985.8067500000001</v>
      </c>
      <c r="V876" s="1015">
        <f>U876*$U$4</f>
        <v>1329.2071587157127</v>
      </c>
    </row>
    <row r="877" spans="1:22" ht="12.75">
      <c r="A877" s="1010"/>
      <c r="B877" s="1029"/>
      <c r="C877" s="1052"/>
      <c r="D877" s="1010"/>
      <c r="E877" s="413"/>
      <c r="F877" s="414"/>
      <c r="G877" s="414"/>
      <c r="H877" s="1057"/>
      <c r="I877" s="1002"/>
      <c r="J877" s="412"/>
      <c r="K877" s="414"/>
      <c r="L877" s="412"/>
      <c r="M877" s="412"/>
      <c r="N877" s="1091"/>
      <c r="O877" s="1002"/>
      <c r="P877" s="412"/>
      <c r="Q877" s="412"/>
      <c r="R877" s="412"/>
      <c r="S877" s="412"/>
      <c r="T877" s="514"/>
      <c r="U877" s="507"/>
      <c r="V877" s="1015"/>
    </row>
    <row r="878" spans="1:22" ht="12.75">
      <c r="A878" s="1010">
        <v>28</v>
      </c>
      <c r="B878" s="1029" t="s">
        <v>499</v>
      </c>
      <c r="C878" s="1052"/>
      <c r="D878" s="1010" t="s">
        <v>499</v>
      </c>
      <c r="E878" s="413" t="s">
        <v>1842</v>
      </c>
      <c r="F878" s="414">
        <v>1</v>
      </c>
      <c r="G878" s="414">
        <v>750</v>
      </c>
      <c r="H878" s="1059">
        <f>F878*G878</f>
        <v>750</v>
      </c>
      <c r="I878" s="1002" t="s">
        <v>1945</v>
      </c>
      <c r="J878" s="412">
        <v>1</v>
      </c>
      <c r="K878" s="414">
        <v>1</v>
      </c>
      <c r="L878" s="415">
        <f>'[1]Labour Cost'!E12</f>
        <v>7.9875</v>
      </c>
      <c r="M878" s="412">
        <v>0.5</v>
      </c>
      <c r="N878" s="1090">
        <f>K878*L878/M878</f>
        <v>15.975</v>
      </c>
      <c r="O878" s="1002" t="s">
        <v>277</v>
      </c>
      <c r="P878" s="412">
        <v>4</v>
      </c>
      <c r="Q878" s="412">
        <v>1</v>
      </c>
      <c r="R878" s="412">
        <v>0.4</v>
      </c>
      <c r="S878" s="412">
        <v>1</v>
      </c>
      <c r="T878" s="515">
        <f>P878*Q878*R878/S878</f>
        <v>1.6</v>
      </c>
      <c r="U878" s="507"/>
      <c r="V878" s="1015"/>
    </row>
    <row r="879" spans="1:22" ht="12.75">
      <c r="A879" s="1010"/>
      <c r="B879" s="1029"/>
      <c r="C879" s="1052"/>
      <c r="D879" s="1010"/>
      <c r="E879" s="413"/>
      <c r="F879" s="414"/>
      <c r="G879" s="414"/>
      <c r="H879" s="1057"/>
      <c r="I879" s="1002" t="s">
        <v>1948</v>
      </c>
      <c r="J879" s="412">
        <v>1</v>
      </c>
      <c r="K879" s="414">
        <v>1</v>
      </c>
      <c r="L879" s="415">
        <f>'[1]Labour Cost'!E15</f>
        <v>3.55</v>
      </c>
      <c r="M879" s="412">
        <v>0.5</v>
      </c>
      <c r="N879" s="1090">
        <f>K879*L879/M879</f>
        <v>7.1</v>
      </c>
      <c r="O879" s="1002"/>
      <c r="P879" s="412"/>
      <c r="Q879" s="412"/>
      <c r="R879" s="412"/>
      <c r="S879" s="412"/>
      <c r="T879" s="514"/>
      <c r="U879" s="507"/>
      <c r="V879" s="1015"/>
    </row>
    <row r="880" spans="1:22" ht="12.75">
      <c r="A880" s="1010"/>
      <c r="B880" s="1029"/>
      <c r="C880" s="1052"/>
      <c r="D880" s="1010"/>
      <c r="E880" s="413"/>
      <c r="F880" s="414"/>
      <c r="G880" s="414"/>
      <c r="H880" s="1057"/>
      <c r="I880" s="1002" t="s">
        <v>500</v>
      </c>
      <c r="J880" s="412">
        <v>1</v>
      </c>
      <c r="K880" s="414">
        <v>0.5</v>
      </c>
      <c r="L880" s="415">
        <f>'[1]Labour Cost'!E6</f>
        <v>6.2124999999999995</v>
      </c>
      <c r="M880" s="412">
        <v>0.5</v>
      </c>
      <c r="N880" s="1090">
        <f>K880*L880/M880</f>
        <v>6.2124999999999995</v>
      </c>
      <c r="O880" s="1002"/>
      <c r="P880" s="412"/>
      <c r="Q880" s="412"/>
      <c r="R880" s="412"/>
      <c r="S880" s="412"/>
      <c r="T880" s="514"/>
      <c r="U880" s="507"/>
      <c r="V880" s="1015"/>
    </row>
    <row r="881" spans="1:22" ht="12.75">
      <c r="A881" s="1014"/>
      <c r="B881" s="1033"/>
      <c r="C881" s="1053"/>
      <c r="D881" s="1014"/>
      <c r="E881" s="544"/>
      <c r="F881" s="545"/>
      <c r="G881" s="545"/>
      <c r="H881" s="1015">
        <f>SUM(H878:H880)</f>
        <v>750</v>
      </c>
      <c r="I881" s="1017"/>
      <c r="J881" s="545"/>
      <c r="K881" s="545"/>
      <c r="L881" s="545"/>
      <c r="M881" s="545"/>
      <c r="N881" s="1015">
        <f>SUM(N878:N880)</f>
        <v>29.287499999999998</v>
      </c>
      <c r="O881" s="1017"/>
      <c r="P881" s="545"/>
      <c r="Q881" s="545"/>
      <c r="R881" s="545"/>
      <c r="S881" s="545"/>
      <c r="T881" s="545">
        <f>SUM(T878:T880)</f>
        <v>1.6</v>
      </c>
      <c r="U881" s="545">
        <f>T881+N881+H881</f>
        <v>780.8875</v>
      </c>
      <c r="V881" s="1015">
        <f>U881*$U$4</f>
        <v>1052.905404788125</v>
      </c>
    </row>
    <row r="882" spans="1:22" ht="12.75">
      <c r="A882" s="1010"/>
      <c r="B882" s="1029"/>
      <c r="C882" s="1052"/>
      <c r="D882" s="1010"/>
      <c r="E882" s="413"/>
      <c r="F882" s="414"/>
      <c r="G882" s="414"/>
      <c r="H882" s="1057"/>
      <c r="I882" s="1002"/>
      <c r="J882" s="412"/>
      <c r="K882" s="414"/>
      <c r="L882" s="412"/>
      <c r="M882" s="412"/>
      <c r="N882" s="1091"/>
      <c r="O882" s="1002"/>
      <c r="P882" s="412"/>
      <c r="Q882" s="412"/>
      <c r="R882" s="412"/>
      <c r="S882" s="412"/>
      <c r="T882" s="514"/>
      <c r="U882" s="507"/>
      <c r="V882" s="1015"/>
    </row>
    <row r="883" spans="1:22" ht="12.75">
      <c r="A883" s="1010">
        <v>29</v>
      </c>
      <c r="B883" s="1029" t="s">
        <v>501</v>
      </c>
      <c r="C883" s="1052"/>
      <c r="D883" s="1010" t="s">
        <v>502</v>
      </c>
      <c r="E883" s="413" t="s">
        <v>1842</v>
      </c>
      <c r="F883" s="414">
        <v>1</v>
      </c>
      <c r="G883" s="414">
        <f>'Electrical Items 1'!D5</f>
        <v>640</v>
      </c>
      <c r="H883" s="1057">
        <f>G883*F883</f>
        <v>640</v>
      </c>
      <c r="I883" s="1002" t="s">
        <v>1945</v>
      </c>
      <c r="J883" s="412">
        <v>1</v>
      </c>
      <c r="K883" s="414">
        <v>1</v>
      </c>
      <c r="L883" s="415">
        <f>L878</f>
        <v>7.9875</v>
      </c>
      <c r="M883" s="412">
        <v>2</v>
      </c>
      <c r="N883" s="1091">
        <f>K883*L883/M883</f>
        <v>3.99375</v>
      </c>
      <c r="O883" s="1002" t="s">
        <v>277</v>
      </c>
      <c r="P883" s="412">
        <v>4</v>
      </c>
      <c r="Q883" s="412">
        <v>1</v>
      </c>
      <c r="R883" s="412">
        <v>0.4</v>
      </c>
      <c r="S883" s="412">
        <v>4</v>
      </c>
      <c r="T883" s="514">
        <f>P883*Q883*R883/S883</f>
        <v>0.4</v>
      </c>
      <c r="U883" s="507"/>
      <c r="V883" s="1015"/>
    </row>
    <row r="884" spans="1:22" ht="12.75">
      <c r="A884" s="1010"/>
      <c r="B884" s="1035" t="s">
        <v>2322</v>
      </c>
      <c r="C884" s="1052"/>
      <c r="D884" s="1010" t="s">
        <v>1704</v>
      </c>
      <c r="E884" s="413" t="s">
        <v>1842</v>
      </c>
      <c r="F884" s="414">
        <v>1</v>
      </c>
      <c r="G884" s="414">
        <v>10</v>
      </c>
      <c r="H884" s="1057">
        <f>G884*F884</f>
        <v>10</v>
      </c>
      <c r="I884" s="1002" t="s">
        <v>1948</v>
      </c>
      <c r="J884" s="412">
        <v>1</v>
      </c>
      <c r="K884" s="414">
        <v>1</v>
      </c>
      <c r="L884" s="415">
        <f>L879</f>
        <v>3.55</v>
      </c>
      <c r="M884" s="412">
        <v>2</v>
      </c>
      <c r="N884" s="1091">
        <f>K884*L884/M884</f>
        <v>1.775</v>
      </c>
      <c r="O884" s="1002"/>
      <c r="P884" s="412"/>
      <c r="Q884" s="412"/>
      <c r="R884" s="412"/>
      <c r="S884" s="412"/>
      <c r="T884" s="514"/>
      <c r="U884" s="507"/>
      <c r="V884" s="1015"/>
    </row>
    <row r="885" spans="1:22" ht="12.75">
      <c r="A885" s="1010"/>
      <c r="B885" s="1029"/>
      <c r="C885" s="1052"/>
      <c r="D885" s="1010"/>
      <c r="E885" s="413"/>
      <c r="F885" s="414"/>
      <c r="G885" s="414"/>
      <c r="H885" s="1057"/>
      <c r="I885" s="1002" t="s">
        <v>23</v>
      </c>
      <c r="J885" s="412">
        <v>1</v>
      </c>
      <c r="K885" s="414">
        <v>0.5</v>
      </c>
      <c r="L885" s="415">
        <f>L880</f>
        <v>6.2124999999999995</v>
      </c>
      <c r="M885" s="412">
        <v>2</v>
      </c>
      <c r="N885" s="1090">
        <f>K885*L885/M885</f>
        <v>1.5531249999999999</v>
      </c>
      <c r="O885" s="1002"/>
      <c r="P885" s="412"/>
      <c r="Q885" s="412"/>
      <c r="R885" s="412"/>
      <c r="S885" s="412"/>
      <c r="T885" s="514"/>
      <c r="U885" s="507"/>
      <c r="V885" s="1015"/>
    </row>
    <row r="886" spans="1:22" ht="12.75">
      <c r="A886" s="1014"/>
      <c r="B886" s="1033"/>
      <c r="C886" s="1053"/>
      <c r="D886" s="1014"/>
      <c r="E886" s="544"/>
      <c r="F886" s="545"/>
      <c r="G886" s="545"/>
      <c r="H886" s="1015">
        <f>SUM(H883:H885)</f>
        <v>650</v>
      </c>
      <c r="I886" s="1017"/>
      <c r="J886" s="545"/>
      <c r="K886" s="545"/>
      <c r="L886" s="545"/>
      <c r="M886" s="545"/>
      <c r="N886" s="1015">
        <f>SUM(N883:N885)</f>
        <v>7.3218749999999995</v>
      </c>
      <c r="O886" s="1017"/>
      <c r="P886" s="545"/>
      <c r="Q886" s="545"/>
      <c r="R886" s="545"/>
      <c r="S886" s="545"/>
      <c r="T886" s="545">
        <v>0.4</v>
      </c>
      <c r="U886" s="545">
        <f>T886+N886+H886</f>
        <v>657.721875</v>
      </c>
      <c r="V886" s="1015">
        <f>U886*$U$4</f>
        <v>886.8357055720312</v>
      </c>
    </row>
    <row r="887" spans="1:22" ht="12.75">
      <c r="A887" s="1010"/>
      <c r="B887" s="1029"/>
      <c r="C887" s="1052"/>
      <c r="D887" s="1010"/>
      <c r="E887" s="413"/>
      <c r="F887" s="414"/>
      <c r="G887" s="414"/>
      <c r="H887" s="1057"/>
      <c r="I887" s="1002"/>
      <c r="J887" s="412"/>
      <c r="K887" s="414"/>
      <c r="L887" s="412"/>
      <c r="M887" s="412"/>
      <c r="N887" s="1091"/>
      <c r="O887" s="1002"/>
      <c r="P887" s="412"/>
      <c r="Q887" s="412"/>
      <c r="R887" s="412"/>
      <c r="S887" s="412"/>
      <c r="T887" s="514"/>
      <c r="U887" s="507"/>
      <c r="V887" s="1015"/>
    </row>
    <row r="888" spans="1:22" ht="21.75" customHeight="1">
      <c r="A888" s="1002"/>
      <c r="B888" s="1045" t="s">
        <v>139</v>
      </c>
      <c r="C888" s="1039"/>
      <c r="D888" s="1011"/>
      <c r="E888" s="1046"/>
      <c r="F888" s="1046"/>
      <c r="G888" s="414"/>
      <c r="H888" s="1057"/>
      <c r="I888" s="1002"/>
      <c r="J888" s="412"/>
      <c r="K888" s="414"/>
      <c r="L888" s="412"/>
      <c r="M888" s="412"/>
      <c r="N888" s="1091"/>
      <c r="O888" s="1002"/>
      <c r="P888" s="412"/>
      <c r="Q888" s="412"/>
      <c r="R888" s="412"/>
      <c r="S888" s="412"/>
      <c r="T888" s="514"/>
      <c r="U888" s="507"/>
      <c r="V888" s="1015"/>
    </row>
    <row r="889" spans="1:22" ht="12.75">
      <c r="A889" s="1002"/>
      <c r="B889" s="546"/>
      <c r="C889" s="1039"/>
      <c r="D889" s="1002"/>
      <c r="E889" s="413"/>
      <c r="F889" s="412"/>
      <c r="G889" s="414"/>
      <c r="H889" s="1057"/>
      <c r="I889" s="1002"/>
      <c r="J889" s="412"/>
      <c r="K889" s="414"/>
      <c r="L889" s="412"/>
      <c r="M889" s="412"/>
      <c r="N889" s="1091"/>
      <c r="O889" s="1002"/>
      <c r="P889" s="412"/>
      <c r="Q889" s="412"/>
      <c r="R889" s="412"/>
      <c r="S889" s="412"/>
      <c r="T889" s="514"/>
      <c r="U889" s="507"/>
      <c r="V889" s="1015"/>
    </row>
    <row r="890" spans="1:22" ht="12.75">
      <c r="A890" s="1002">
        <v>1</v>
      </c>
      <c r="B890" s="546" t="s">
        <v>2308</v>
      </c>
      <c r="C890" s="1039" t="s">
        <v>92</v>
      </c>
      <c r="D890" s="1002" t="s">
        <v>2931</v>
      </c>
      <c r="E890" s="413"/>
      <c r="F890" s="412"/>
      <c r="G890" s="414"/>
      <c r="H890" s="1057"/>
      <c r="I890" s="1002"/>
      <c r="J890" s="412"/>
      <c r="K890" s="414"/>
      <c r="L890" s="412"/>
      <c r="M890" s="412"/>
      <c r="N890" s="1091"/>
      <c r="O890" s="1002"/>
      <c r="P890" s="412"/>
      <c r="Q890" s="412"/>
      <c r="R890" s="412"/>
      <c r="S890" s="412"/>
      <c r="T890" s="514"/>
      <c r="U890" s="507"/>
      <c r="V890" s="1015"/>
    </row>
    <row r="891" spans="1:22" ht="12.75">
      <c r="A891" s="1002"/>
      <c r="B891" s="546" t="s">
        <v>2309</v>
      </c>
      <c r="C891" s="1039"/>
      <c r="D891" s="1002" t="s">
        <v>2742</v>
      </c>
      <c r="E891" s="413" t="s">
        <v>25</v>
      </c>
      <c r="F891" s="412">
        <v>0.042</v>
      </c>
      <c r="G891" s="414">
        <f>U83</f>
        <v>1525.521131458543</v>
      </c>
      <c r="H891" s="1059">
        <f>F891*G891</f>
        <v>64.07188752125882</v>
      </c>
      <c r="I891" s="1002" t="s">
        <v>275</v>
      </c>
      <c r="J891" s="412">
        <v>1</v>
      </c>
      <c r="K891" s="414">
        <v>0.1</v>
      </c>
      <c r="L891" s="412">
        <v>7</v>
      </c>
      <c r="M891" s="412">
        <v>3</v>
      </c>
      <c r="N891" s="1091">
        <f>K891*L891/M891</f>
        <v>0.23333333333333336</v>
      </c>
      <c r="O891" s="1002" t="s">
        <v>277</v>
      </c>
      <c r="P891" s="412">
        <v>2</v>
      </c>
      <c r="Q891" s="412">
        <v>1</v>
      </c>
      <c r="R891" s="412">
        <v>0.16</v>
      </c>
      <c r="S891" s="412">
        <v>3</v>
      </c>
      <c r="T891" s="514">
        <f>P891*Q891*R891/S891</f>
        <v>0.10666666666666667</v>
      </c>
      <c r="U891" s="507"/>
      <c r="V891" s="1015"/>
    </row>
    <row r="892" spans="1:22" ht="12.75">
      <c r="A892" s="1002"/>
      <c r="B892" s="546" t="s">
        <v>2307</v>
      </c>
      <c r="C892" s="1039"/>
      <c r="D892" s="1002" t="s">
        <v>2310</v>
      </c>
      <c r="E892" s="413"/>
      <c r="F892" s="412"/>
      <c r="G892" s="414"/>
      <c r="H892" s="1059"/>
      <c r="I892" s="1002" t="s">
        <v>2743</v>
      </c>
      <c r="J892" s="412">
        <v>1</v>
      </c>
      <c r="K892" s="414">
        <v>1</v>
      </c>
      <c r="L892" s="412">
        <v>3.5</v>
      </c>
      <c r="M892" s="412">
        <v>3</v>
      </c>
      <c r="N892" s="1091">
        <f>K892*L892/M892</f>
        <v>1.1666666666666667</v>
      </c>
      <c r="O892" s="1002"/>
      <c r="P892" s="412"/>
      <c r="Q892" s="412"/>
      <c r="R892" s="412"/>
      <c r="S892" s="412"/>
      <c r="T892" s="514"/>
      <c r="U892" s="507"/>
      <c r="V892" s="1015"/>
    </row>
    <row r="893" spans="1:22" ht="12.75">
      <c r="A893" s="1002"/>
      <c r="B893" s="546"/>
      <c r="C893" s="1039"/>
      <c r="D893" s="1002" t="s">
        <v>1157</v>
      </c>
      <c r="E893" s="413" t="s">
        <v>24</v>
      </c>
      <c r="F893" s="412">
        <v>0.006</v>
      </c>
      <c r="G893" s="414">
        <f>U75</f>
        <v>1055.3999157022754</v>
      </c>
      <c r="H893" s="1059">
        <f>F893*G893</f>
        <v>6.332399494213653</v>
      </c>
      <c r="I893" s="1002" t="s">
        <v>1191</v>
      </c>
      <c r="J893" s="412">
        <v>2</v>
      </c>
      <c r="K893" s="414">
        <v>1</v>
      </c>
      <c r="L893" s="412">
        <v>1</v>
      </c>
      <c r="M893" s="412">
        <v>3</v>
      </c>
      <c r="N893" s="1091">
        <f>J893/M893</f>
        <v>0.6666666666666666</v>
      </c>
      <c r="O893" s="1002"/>
      <c r="P893" s="412"/>
      <c r="Q893" s="412"/>
      <c r="R893" s="412"/>
      <c r="S893" s="412"/>
      <c r="T893" s="514"/>
      <c r="U893" s="507"/>
      <c r="V893" s="1015"/>
    </row>
    <row r="894" spans="1:22" ht="12.75">
      <c r="A894" s="1002"/>
      <c r="B894" s="546"/>
      <c r="C894" s="1039"/>
      <c r="D894" s="1002"/>
      <c r="E894" s="413" t="s">
        <v>24</v>
      </c>
      <c r="F894" s="412">
        <v>0.24</v>
      </c>
      <c r="G894" s="414">
        <f>V118</f>
        <v>290.32734629873335</v>
      </c>
      <c r="H894" s="1059">
        <f>F894*G894</f>
        <v>69.678563111696</v>
      </c>
      <c r="I894" s="1002"/>
      <c r="J894" s="412"/>
      <c r="K894" s="414"/>
      <c r="L894" s="412"/>
      <c r="M894" s="412"/>
      <c r="N894" s="1091"/>
      <c r="O894" s="1002"/>
      <c r="P894" s="412"/>
      <c r="Q894" s="412"/>
      <c r="R894" s="412"/>
      <c r="S894" s="412"/>
      <c r="T894" s="514"/>
      <c r="U894" s="507"/>
      <c r="V894" s="1015"/>
    </row>
    <row r="895" spans="1:22" ht="12.75">
      <c r="A895" s="1017"/>
      <c r="B895" s="1036"/>
      <c r="C895" s="1055"/>
      <c r="D895" s="1017"/>
      <c r="E895" s="544"/>
      <c r="F895" s="545"/>
      <c r="G895" s="545"/>
      <c r="H895" s="1015">
        <f>SUM(H891:H894)</f>
        <v>140.08285012716846</v>
      </c>
      <c r="I895" s="1017"/>
      <c r="J895" s="545"/>
      <c r="K895" s="545"/>
      <c r="L895" s="545"/>
      <c r="M895" s="545"/>
      <c r="N895" s="1015">
        <f>N891+N892+N893</f>
        <v>2.066666666666667</v>
      </c>
      <c r="O895" s="1017"/>
      <c r="P895" s="545"/>
      <c r="Q895" s="545"/>
      <c r="R895" s="545"/>
      <c r="S895" s="545"/>
      <c r="T895" s="545">
        <f>SUM(T891:T894)</f>
        <v>0.10666666666666667</v>
      </c>
      <c r="U895" s="545">
        <f>H895+N895+T895</f>
        <v>142.25618346050177</v>
      </c>
      <c r="V895" s="1015">
        <f>U895*$U$4</f>
        <v>191.8103496727677</v>
      </c>
    </row>
    <row r="896" spans="1:22" ht="12.75">
      <c r="A896" s="1002"/>
      <c r="B896" s="546"/>
      <c r="C896" s="1039"/>
      <c r="D896" s="1002"/>
      <c r="E896" s="413"/>
      <c r="F896" s="412"/>
      <c r="G896" s="414"/>
      <c r="H896" s="1057"/>
      <c r="I896" s="1002"/>
      <c r="J896" s="412"/>
      <c r="K896" s="414"/>
      <c r="L896" s="412"/>
      <c r="M896" s="412"/>
      <c r="N896" s="1091"/>
      <c r="O896" s="1002"/>
      <c r="P896" s="412"/>
      <c r="Q896" s="412"/>
      <c r="R896" s="412"/>
      <c r="S896" s="412"/>
      <c r="T896" s="514"/>
      <c r="U896" s="507"/>
      <c r="V896" s="1015"/>
    </row>
    <row r="897" spans="1:22" ht="12.75">
      <c r="A897" s="1002">
        <v>2</v>
      </c>
      <c r="B897" s="546" t="s">
        <v>250</v>
      </c>
      <c r="C897" s="1039"/>
      <c r="D897" s="1002" t="s">
        <v>252</v>
      </c>
      <c r="E897" s="413"/>
      <c r="F897" s="412"/>
      <c r="G897" s="414"/>
      <c r="H897" s="1057"/>
      <c r="I897" s="1002"/>
      <c r="J897" s="412"/>
      <c r="K897" s="414"/>
      <c r="L897" s="412"/>
      <c r="M897" s="412"/>
      <c r="N897" s="1091"/>
      <c r="O897" s="1002"/>
      <c r="P897" s="412"/>
      <c r="Q897" s="412"/>
      <c r="R897" s="412"/>
      <c r="S897" s="412"/>
      <c r="T897" s="514"/>
      <c r="U897" s="507"/>
      <c r="V897" s="1015"/>
    </row>
    <row r="898" spans="1:22" ht="12.75">
      <c r="A898" s="1002"/>
      <c r="B898" s="546" t="s">
        <v>251</v>
      </c>
      <c r="C898" s="1039" t="s">
        <v>25</v>
      </c>
      <c r="D898" s="1002" t="s">
        <v>253</v>
      </c>
      <c r="E898" s="413" t="s">
        <v>25</v>
      </c>
      <c r="F898" s="412">
        <v>1.25</v>
      </c>
      <c r="G898" s="414">
        <v>30</v>
      </c>
      <c r="H898" s="1057">
        <f>F898*G898</f>
        <v>37.5</v>
      </c>
      <c r="I898" s="1002" t="s">
        <v>254</v>
      </c>
      <c r="J898" s="412"/>
      <c r="K898" s="414"/>
      <c r="L898" s="412"/>
      <c r="M898" s="412"/>
      <c r="N898" s="1091"/>
      <c r="O898" s="1002" t="s">
        <v>254</v>
      </c>
      <c r="P898" s="412">
        <v>2</v>
      </c>
      <c r="Q898" s="412">
        <v>1</v>
      </c>
      <c r="R898" s="414">
        <f>'Equip. Rental Rate'!AB40</f>
        <v>461.35692917989064</v>
      </c>
      <c r="S898" s="412">
        <v>43</v>
      </c>
      <c r="T898" s="514">
        <f>P898*Q898*R898/S898</f>
        <v>21.458461822320494</v>
      </c>
      <c r="U898" s="507"/>
      <c r="V898" s="1015"/>
    </row>
    <row r="899" spans="1:22" ht="12.75">
      <c r="A899" s="1002"/>
      <c r="B899" s="546"/>
      <c r="C899" s="1039"/>
      <c r="D899" s="1002"/>
      <c r="E899" s="413"/>
      <c r="F899" s="412"/>
      <c r="G899" s="414"/>
      <c r="H899" s="1057"/>
      <c r="I899" s="1002" t="s">
        <v>255</v>
      </c>
      <c r="J899" s="412">
        <v>2</v>
      </c>
      <c r="K899" s="414">
        <v>1</v>
      </c>
      <c r="L899" s="412">
        <v>8</v>
      </c>
      <c r="M899" s="412">
        <v>43</v>
      </c>
      <c r="N899" s="1090">
        <f>J899*K899*L899/M899</f>
        <v>0.37209302325581395</v>
      </c>
      <c r="O899" s="1002" t="s">
        <v>1193</v>
      </c>
      <c r="P899" s="412">
        <v>1</v>
      </c>
      <c r="Q899" s="412">
        <v>1</v>
      </c>
      <c r="R899" s="414">
        <f>'Equip. Rental Rate'!AB33</f>
        <v>631.6117365361945</v>
      </c>
      <c r="S899" s="412">
        <v>43</v>
      </c>
      <c r="T899" s="514">
        <f>P899*Q899*R899/S899</f>
        <v>14.688645035725454</v>
      </c>
      <c r="U899" s="507"/>
      <c r="V899" s="1015"/>
    </row>
    <row r="900" spans="1:22" ht="12.75">
      <c r="A900" s="1002"/>
      <c r="B900" s="546"/>
      <c r="C900" s="1039"/>
      <c r="D900" s="1002"/>
      <c r="E900" s="413"/>
      <c r="F900" s="412"/>
      <c r="G900" s="414"/>
      <c r="H900" s="1057"/>
      <c r="I900" s="1002" t="s">
        <v>256</v>
      </c>
      <c r="J900" s="412"/>
      <c r="K900" s="414"/>
      <c r="L900" s="412"/>
      <c r="M900" s="412"/>
      <c r="N900" s="1090"/>
      <c r="O900" s="1002" t="s">
        <v>264</v>
      </c>
      <c r="P900" s="412"/>
      <c r="Q900" s="412"/>
      <c r="R900" s="412"/>
      <c r="S900" s="412"/>
      <c r="T900" s="514"/>
      <c r="U900" s="507"/>
      <c r="V900" s="1015"/>
    </row>
    <row r="901" spans="1:22" ht="12.75">
      <c r="A901" s="1002"/>
      <c r="B901" s="546"/>
      <c r="C901" s="1039"/>
      <c r="D901" s="1002"/>
      <c r="E901" s="413"/>
      <c r="F901" s="412"/>
      <c r="G901" s="414"/>
      <c r="H901" s="1057"/>
      <c r="I901" s="1002" t="s">
        <v>255</v>
      </c>
      <c r="J901" s="412">
        <v>1</v>
      </c>
      <c r="K901" s="414">
        <v>1</v>
      </c>
      <c r="L901" s="412">
        <v>7</v>
      </c>
      <c r="M901" s="412">
        <v>43</v>
      </c>
      <c r="N901" s="1090">
        <f aca="true" t="shared" si="22" ref="N901:N911">J901*K901*L901/M901</f>
        <v>0.16279069767441862</v>
      </c>
      <c r="O901" s="1002" t="s">
        <v>265</v>
      </c>
      <c r="P901" s="412">
        <v>4</v>
      </c>
      <c r="Q901" s="412">
        <v>1</v>
      </c>
      <c r="R901" s="414">
        <f>'Equip. Rental Rate'!AB9</f>
        <v>1165.9322272430388</v>
      </c>
      <c r="S901" s="412">
        <v>43</v>
      </c>
      <c r="T901" s="514">
        <f>P901*Q901*R901/S901</f>
        <v>108.45881183656175</v>
      </c>
      <c r="U901" s="507"/>
      <c r="V901" s="1015"/>
    </row>
    <row r="902" spans="1:22" ht="12.75">
      <c r="A902" s="1002"/>
      <c r="B902" s="546"/>
      <c r="C902" s="1039"/>
      <c r="D902" s="1002"/>
      <c r="E902" s="413"/>
      <c r="F902" s="412"/>
      <c r="G902" s="414"/>
      <c r="H902" s="1057"/>
      <c r="I902" s="1002" t="s">
        <v>257</v>
      </c>
      <c r="J902" s="412"/>
      <c r="K902" s="414"/>
      <c r="L902" s="412"/>
      <c r="M902" s="412"/>
      <c r="N902" s="1090"/>
      <c r="O902" s="1002" t="s">
        <v>2312</v>
      </c>
      <c r="P902" s="412">
        <v>1</v>
      </c>
      <c r="Q902" s="412">
        <v>1</v>
      </c>
      <c r="R902" s="414">
        <f>'Equip. Rental Rate'!AB11</f>
        <v>525.8498484935097</v>
      </c>
      <c r="S902" s="412">
        <v>43</v>
      </c>
      <c r="T902" s="514">
        <f>P902*Q902*R902/S902</f>
        <v>12.22906624403511</v>
      </c>
      <c r="U902" s="507"/>
      <c r="V902" s="1015"/>
    </row>
    <row r="903" spans="1:22" ht="12.75">
      <c r="A903" s="1002"/>
      <c r="B903" s="546"/>
      <c r="C903" s="1039"/>
      <c r="D903" s="1002"/>
      <c r="E903" s="413"/>
      <c r="F903" s="412"/>
      <c r="G903" s="414"/>
      <c r="H903" s="1057"/>
      <c r="I903" s="1002" t="s">
        <v>258</v>
      </c>
      <c r="J903" s="412">
        <v>1</v>
      </c>
      <c r="K903" s="414">
        <v>1</v>
      </c>
      <c r="L903" s="412">
        <v>10</v>
      </c>
      <c r="M903" s="412">
        <v>43</v>
      </c>
      <c r="N903" s="1090">
        <f t="shared" si="22"/>
        <v>0.23255813953488372</v>
      </c>
      <c r="O903" s="1002"/>
      <c r="P903" s="412"/>
      <c r="Q903" s="412"/>
      <c r="R903" s="412"/>
      <c r="S903" s="412"/>
      <c r="T903" s="514"/>
      <c r="U903" s="507"/>
      <c r="V903" s="1015"/>
    </row>
    <row r="904" spans="1:22" ht="12.75">
      <c r="A904" s="1002"/>
      <c r="B904" s="546"/>
      <c r="C904" s="1039"/>
      <c r="D904" s="1002"/>
      <c r="E904" s="413"/>
      <c r="F904" s="412"/>
      <c r="G904" s="414"/>
      <c r="H904" s="1057"/>
      <c r="I904" s="1002" t="s">
        <v>259</v>
      </c>
      <c r="J904" s="412">
        <v>10</v>
      </c>
      <c r="K904" s="414">
        <v>1</v>
      </c>
      <c r="L904" s="412">
        <v>1.25</v>
      </c>
      <c r="M904" s="412">
        <v>43</v>
      </c>
      <c r="N904" s="1090">
        <f t="shared" si="22"/>
        <v>0.29069767441860467</v>
      </c>
      <c r="O904" s="1002"/>
      <c r="P904" s="412"/>
      <c r="Q904" s="412"/>
      <c r="R904" s="412"/>
      <c r="S904" s="412"/>
      <c r="T904" s="514"/>
      <c r="U904" s="507"/>
      <c r="V904" s="1015"/>
    </row>
    <row r="905" spans="1:22" ht="12.75">
      <c r="A905" s="1002"/>
      <c r="B905" s="546"/>
      <c r="C905" s="1039"/>
      <c r="D905" s="1002"/>
      <c r="E905" s="413"/>
      <c r="F905" s="412"/>
      <c r="G905" s="414"/>
      <c r="H905" s="1057"/>
      <c r="I905" s="1002" t="s">
        <v>260</v>
      </c>
      <c r="J905" s="412"/>
      <c r="K905" s="414"/>
      <c r="L905" s="412"/>
      <c r="M905" s="412"/>
      <c r="N905" s="1090"/>
      <c r="O905" s="1002"/>
      <c r="P905" s="412"/>
      <c r="Q905" s="412"/>
      <c r="R905" s="412"/>
      <c r="S905" s="412"/>
      <c r="T905" s="514"/>
      <c r="U905" s="507"/>
      <c r="V905" s="1015"/>
    </row>
    <row r="906" spans="1:22" ht="12.75">
      <c r="A906" s="1002"/>
      <c r="B906" s="546"/>
      <c r="C906" s="1039"/>
      <c r="D906" s="1002"/>
      <c r="E906" s="413"/>
      <c r="F906" s="412"/>
      <c r="G906" s="414"/>
      <c r="H906" s="1057"/>
      <c r="I906" s="1002" t="s">
        <v>255</v>
      </c>
      <c r="J906" s="412">
        <v>4</v>
      </c>
      <c r="K906" s="414">
        <v>1</v>
      </c>
      <c r="L906" s="412">
        <v>8.5</v>
      </c>
      <c r="M906" s="412">
        <v>43</v>
      </c>
      <c r="N906" s="1090">
        <f t="shared" si="22"/>
        <v>0.7906976744186046</v>
      </c>
      <c r="O906" s="1002"/>
      <c r="P906" s="412"/>
      <c r="Q906" s="412"/>
      <c r="R906" s="412"/>
      <c r="S906" s="412"/>
      <c r="T906" s="514"/>
      <c r="U906" s="507"/>
      <c r="V906" s="1015"/>
    </row>
    <row r="907" spans="1:22" ht="12.75">
      <c r="A907" s="1002"/>
      <c r="B907" s="546"/>
      <c r="C907" s="1039"/>
      <c r="D907" s="1002"/>
      <c r="E907" s="413"/>
      <c r="F907" s="412"/>
      <c r="G907" s="414"/>
      <c r="H907" s="1057"/>
      <c r="I907" s="1002" t="s">
        <v>261</v>
      </c>
      <c r="J907" s="412"/>
      <c r="K907" s="414"/>
      <c r="L907" s="412"/>
      <c r="M907" s="412"/>
      <c r="N907" s="1090"/>
      <c r="O907" s="1002"/>
      <c r="P907" s="412"/>
      <c r="Q907" s="412"/>
      <c r="R907" s="412"/>
      <c r="S907" s="412"/>
      <c r="T907" s="514"/>
      <c r="U907" s="507"/>
      <c r="V907" s="1015"/>
    </row>
    <row r="908" spans="1:22" ht="12.75">
      <c r="A908" s="1002"/>
      <c r="B908" s="546"/>
      <c r="C908" s="1039"/>
      <c r="D908" s="1002"/>
      <c r="E908" s="413"/>
      <c r="F908" s="412"/>
      <c r="G908" s="414"/>
      <c r="H908" s="1057"/>
      <c r="I908" s="1002" t="s">
        <v>262</v>
      </c>
      <c r="J908" s="412"/>
      <c r="K908" s="414"/>
      <c r="L908" s="412"/>
      <c r="M908" s="412"/>
      <c r="N908" s="1090"/>
      <c r="O908" s="1002"/>
      <c r="P908" s="412"/>
      <c r="Q908" s="412"/>
      <c r="R908" s="412"/>
      <c r="S908" s="412"/>
      <c r="T908" s="514"/>
      <c r="U908" s="507"/>
      <c r="V908" s="1015"/>
    </row>
    <row r="909" spans="1:22" ht="12.75">
      <c r="A909" s="1002"/>
      <c r="B909" s="546"/>
      <c r="C909" s="1039"/>
      <c r="D909" s="1002"/>
      <c r="E909" s="413"/>
      <c r="F909" s="412"/>
      <c r="G909" s="414"/>
      <c r="H909" s="1057"/>
      <c r="I909" s="1002" t="s">
        <v>255</v>
      </c>
      <c r="J909" s="412">
        <v>1</v>
      </c>
      <c r="K909" s="414">
        <v>1</v>
      </c>
      <c r="L909" s="412">
        <v>8.5</v>
      </c>
      <c r="M909" s="412">
        <v>43</v>
      </c>
      <c r="N909" s="1090">
        <f t="shared" si="22"/>
        <v>0.19767441860465115</v>
      </c>
      <c r="O909" s="1002"/>
      <c r="P909" s="412"/>
      <c r="Q909" s="412"/>
      <c r="R909" s="412"/>
      <c r="S909" s="412"/>
      <c r="T909" s="514"/>
      <c r="U909" s="507"/>
      <c r="V909" s="1015"/>
    </row>
    <row r="910" spans="1:22" ht="12.75">
      <c r="A910" s="1002"/>
      <c r="B910" s="546"/>
      <c r="C910" s="1039"/>
      <c r="D910" s="1002"/>
      <c r="E910" s="413"/>
      <c r="F910" s="412"/>
      <c r="G910" s="414"/>
      <c r="H910" s="1057"/>
      <c r="I910" s="1002" t="s">
        <v>263</v>
      </c>
      <c r="J910" s="412"/>
      <c r="K910" s="414"/>
      <c r="L910" s="412"/>
      <c r="M910" s="412"/>
      <c r="N910" s="1090"/>
      <c r="O910" s="1002"/>
      <c r="P910" s="412"/>
      <c r="Q910" s="412"/>
      <c r="R910" s="412"/>
      <c r="S910" s="412"/>
      <c r="T910" s="514"/>
      <c r="U910" s="507"/>
      <c r="V910" s="1015"/>
    </row>
    <row r="911" spans="1:22" ht="12.75">
      <c r="A911" s="1002"/>
      <c r="B911" s="546"/>
      <c r="C911" s="1039"/>
      <c r="D911" s="1002"/>
      <c r="E911" s="413"/>
      <c r="F911" s="412"/>
      <c r="G911" s="414"/>
      <c r="H911" s="1057"/>
      <c r="I911" s="1002" t="s">
        <v>255</v>
      </c>
      <c r="J911" s="412">
        <v>1</v>
      </c>
      <c r="K911" s="414">
        <v>1</v>
      </c>
      <c r="L911" s="412">
        <v>8.5</v>
      </c>
      <c r="M911" s="412">
        <v>43</v>
      </c>
      <c r="N911" s="1090">
        <f t="shared" si="22"/>
        <v>0.19767441860465115</v>
      </c>
      <c r="O911" s="1002"/>
      <c r="P911" s="412"/>
      <c r="Q911" s="412"/>
      <c r="R911" s="412"/>
      <c r="S911" s="412"/>
      <c r="T911" s="514"/>
      <c r="U911" s="507"/>
      <c r="V911" s="1015"/>
    </row>
    <row r="912" spans="1:22" ht="12.75">
      <c r="A912" s="1017"/>
      <c r="B912" s="1036"/>
      <c r="C912" s="1055"/>
      <c r="D912" s="1017"/>
      <c r="E912" s="544"/>
      <c r="F912" s="545"/>
      <c r="G912" s="545"/>
      <c r="H912" s="1015">
        <f>SUM(H898:H911)</f>
        <v>37.5</v>
      </c>
      <c r="I912" s="1017"/>
      <c r="J912" s="545"/>
      <c r="K912" s="545"/>
      <c r="L912" s="545"/>
      <c r="M912" s="545"/>
      <c r="N912" s="1015">
        <f>SUM(N898:N911)</f>
        <v>2.244186046511628</v>
      </c>
      <c r="O912" s="1017"/>
      <c r="P912" s="545"/>
      <c r="Q912" s="545"/>
      <c r="R912" s="545"/>
      <c r="S912" s="545"/>
      <c r="T912" s="545">
        <f>SUM(T898:T911)</f>
        <v>156.83498493864278</v>
      </c>
      <c r="U912" s="545">
        <f>G912+N912+T912</f>
        <v>159.0791709851544</v>
      </c>
      <c r="V912" s="1015">
        <f>U912*$U$4</f>
        <v>214.49353321635107</v>
      </c>
    </row>
    <row r="913" spans="1:22" ht="12.75">
      <c r="A913" s="1002"/>
      <c r="B913" s="546"/>
      <c r="C913" s="1039"/>
      <c r="D913" s="1002"/>
      <c r="E913" s="413"/>
      <c r="F913" s="412"/>
      <c r="G913" s="414"/>
      <c r="H913" s="1057"/>
      <c r="I913" s="1002"/>
      <c r="J913" s="412"/>
      <c r="K913" s="414"/>
      <c r="L913" s="412"/>
      <c r="M913" s="412"/>
      <c r="N913" s="1091"/>
      <c r="O913" s="1002"/>
      <c r="P913" s="412"/>
      <c r="Q913" s="412"/>
      <c r="R913" s="412"/>
      <c r="S913" s="412"/>
      <c r="T913" s="514"/>
      <c r="U913" s="507"/>
      <c r="V913" s="1015"/>
    </row>
    <row r="914" spans="1:22" ht="12.75">
      <c r="A914" s="1002">
        <v>3</v>
      </c>
      <c r="B914" s="546" t="s">
        <v>1284</v>
      </c>
      <c r="C914" s="1039" t="s">
        <v>24</v>
      </c>
      <c r="D914" s="1002" t="s">
        <v>1285</v>
      </c>
      <c r="E914" s="413" t="s">
        <v>25</v>
      </c>
      <c r="F914" s="412">
        <v>0.35</v>
      </c>
      <c r="G914" s="415">
        <f>'Material price'!D10</f>
        <v>156.52</v>
      </c>
      <c r="H914" s="1059">
        <f>F914*G914</f>
        <v>54.782000000000004</v>
      </c>
      <c r="I914" s="1002" t="s">
        <v>1286</v>
      </c>
      <c r="J914" s="412">
        <v>1</v>
      </c>
      <c r="K914" s="414">
        <v>1</v>
      </c>
      <c r="L914" s="415">
        <f>'Labour Cost'!F9</f>
        <v>26.25</v>
      </c>
      <c r="M914" s="412">
        <v>1.5</v>
      </c>
      <c r="N914" s="1090">
        <f>K914*L914/M914</f>
        <v>17.5</v>
      </c>
      <c r="O914" s="1002" t="s">
        <v>277</v>
      </c>
      <c r="P914" s="412">
        <v>3</v>
      </c>
      <c r="Q914" s="412">
        <v>1</v>
      </c>
      <c r="R914" s="412">
        <v>0.16</v>
      </c>
      <c r="S914" s="412">
        <v>1.5</v>
      </c>
      <c r="T914" s="514">
        <f>P914*Q914*R914/1.5</f>
        <v>0.32</v>
      </c>
      <c r="U914" s="507"/>
      <c r="V914" s="1015"/>
    </row>
    <row r="915" spans="1:22" ht="12.75">
      <c r="A915" s="1002"/>
      <c r="B915" s="546" t="s">
        <v>1287</v>
      </c>
      <c r="C915" s="1039"/>
      <c r="D915" s="1002"/>
      <c r="E915" s="413"/>
      <c r="F915" s="412"/>
      <c r="G915" s="412"/>
      <c r="H915" s="1059"/>
      <c r="I915" s="1002" t="s">
        <v>273</v>
      </c>
      <c r="J915" s="412">
        <v>3</v>
      </c>
      <c r="K915" s="414">
        <v>1</v>
      </c>
      <c r="L915" s="415">
        <f>'Labour Cost'!F21</f>
        <v>8.75</v>
      </c>
      <c r="M915" s="412">
        <v>1.5</v>
      </c>
      <c r="N915" s="1090">
        <f>K915*L915/M915</f>
        <v>5.833333333333333</v>
      </c>
      <c r="O915" s="1002"/>
      <c r="P915" s="412"/>
      <c r="Q915" s="412"/>
      <c r="R915" s="412"/>
      <c r="S915" s="412"/>
      <c r="T915" s="514"/>
      <c r="U915" s="507"/>
      <c r="V915" s="1015"/>
    </row>
    <row r="916" spans="1:22" ht="12.75">
      <c r="A916" s="1002"/>
      <c r="B916" s="546"/>
      <c r="C916" s="1039"/>
      <c r="D916" s="1002"/>
      <c r="E916" s="413"/>
      <c r="F916" s="412"/>
      <c r="G916" s="412"/>
      <c r="H916" s="1059"/>
      <c r="I916" s="1002" t="s">
        <v>275</v>
      </c>
      <c r="J916" s="412">
        <v>1</v>
      </c>
      <c r="K916" s="414">
        <v>0.1</v>
      </c>
      <c r="L916" s="415">
        <f>'Labour Cost'!F7</f>
        <v>20.81362580128205</v>
      </c>
      <c r="M916" s="412">
        <v>1.5</v>
      </c>
      <c r="N916" s="1090">
        <f>K916*L916/M916</f>
        <v>1.3875750534188034</v>
      </c>
      <c r="O916" s="1002"/>
      <c r="P916" s="412"/>
      <c r="Q916" s="412"/>
      <c r="R916" s="412"/>
      <c r="S916" s="412"/>
      <c r="T916" s="514"/>
      <c r="U916" s="507"/>
      <c r="V916" s="1015"/>
    </row>
    <row r="917" spans="1:22" ht="12.75">
      <c r="A917" s="1017"/>
      <c r="B917" s="1036"/>
      <c r="C917" s="1055"/>
      <c r="D917" s="1017"/>
      <c r="E917" s="544"/>
      <c r="F917" s="545"/>
      <c r="G917" s="545"/>
      <c r="H917" s="1015">
        <f>SUM(H914:H916)</f>
        <v>54.782000000000004</v>
      </c>
      <c r="I917" s="1017"/>
      <c r="J917" s="545"/>
      <c r="K917" s="545"/>
      <c r="L917" s="545"/>
      <c r="M917" s="545"/>
      <c r="N917" s="1015">
        <f>SUM(N914:N916)</f>
        <v>24.720908386752136</v>
      </c>
      <c r="O917" s="1017"/>
      <c r="P917" s="545"/>
      <c r="Q917" s="545"/>
      <c r="R917" s="545"/>
      <c r="S917" s="545"/>
      <c r="T917" s="545">
        <f>SUM(T914:T916)</f>
        <v>0.32</v>
      </c>
      <c r="U917" s="545">
        <f>H917+N917+T917</f>
        <v>79.82290838675213</v>
      </c>
      <c r="V917" s="1015">
        <f>U917*$U$4</f>
        <v>107.62878348842654</v>
      </c>
    </row>
    <row r="918" spans="1:22" ht="12.75">
      <c r="A918" s="1002"/>
      <c r="B918" s="546"/>
      <c r="C918" s="1039"/>
      <c r="D918" s="1002"/>
      <c r="E918" s="413"/>
      <c r="F918" s="412"/>
      <c r="G918" s="414"/>
      <c r="H918" s="1057"/>
      <c r="I918" s="1002"/>
      <c r="J918" s="412"/>
      <c r="K918" s="414"/>
      <c r="L918" s="412"/>
      <c r="M918" s="412"/>
      <c r="N918" s="1091"/>
      <c r="O918" s="1002"/>
      <c r="P918" s="412"/>
      <c r="Q918" s="412"/>
      <c r="R918" s="412"/>
      <c r="S918" s="412"/>
      <c r="T918" s="514"/>
      <c r="U918" s="507"/>
      <c r="V918" s="1015"/>
    </row>
    <row r="919" spans="1:22" ht="12.75">
      <c r="A919" s="1002">
        <v>4</v>
      </c>
      <c r="B919" s="546" t="s">
        <v>266</v>
      </c>
      <c r="C919" s="1039"/>
      <c r="D919" s="1002" t="s">
        <v>1042</v>
      </c>
      <c r="E919" s="413" t="s">
        <v>86</v>
      </c>
      <c r="F919" s="412">
        <v>2</v>
      </c>
      <c r="G919" s="414">
        <v>5.5</v>
      </c>
      <c r="H919" s="1059">
        <f>F919*G919</f>
        <v>11</v>
      </c>
      <c r="I919" s="1002" t="s">
        <v>1045</v>
      </c>
      <c r="J919" s="412">
        <v>1</v>
      </c>
      <c r="K919" s="414">
        <v>0.5</v>
      </c>
      <c r="L919" s="412">
        <v>5.5</v>
      </c>
      <c r="M919" s="412">
        <v>12.5</v>
      </c>
      <c r="N919" s="1091">
        <f>K919*L919/M919</f>
        <v>0.22</v>
      </c>
      <c r="O919" s="1002" t="s">
        <v>254</v>
      </c>
      <c r="P919" s="412">
        <v>1</v>
      </c>
      <c r="Q919" s="412">
        <v>0.5</v>
      </c>
      <c r="R919" s="414">
        <v>150</v>
      </c>
      <c r="S919" s="414">
        <v>12.5</v>
      </c>
      <c r="T919" s="515">
        <f>P919*Q919*R919/S919</f>
        <v>6</v>
      </c>
      <c r="U919" s="507"/>
      <c r="V919" s="1015"/>
    </row>
    <row r="920" spans="1:22" ht="12.75">
      <c r="A920" s="1002"/>
      <c r="B920" s="546" t="s">
        <v>267</v>
      </c>
      <c r="C920" s="1039"/>
      <c r="D920" s="1002" t="s">
        <v>1043</v>
      </c>
      <c r="E920" s="413"/>
      <c r="F920" s="412"/>
      <c r="G920" s="414"/>
      <c r="H920" s="1059"/>
      <c r="I920" s="1002" t="s">
        <v>254</v>
      </c>
      <c r="J920" s="412"/>
      <c r="K920" s="414"/>
      <c r="L920" s="412"/>
      <c r="M920" s="412"/>
      <c r="N920" s="1091"/>
      <c r="O920" s="1002" t="s">
        <v>2190</v>
      </c>
      <c r="P920" s="412"/>
      <c r="Q920" s="412"/>
      <c r="R920" s="414"/>
      <c r="S920" s="414"/>
      <c r="T920" s="515"/>
      <c r="U920" s="507"/>
      <c r="V920" s="1015"/>
    </row>
    <row r="921" spans="1:22" ht="12.75">
      <c r="A921" s="1002"/>
      <c r="B921" s="546" t="s">
        <v>1097</v>
      </c>
      <c r="C921" s="1039"/>
      <c r="D921" s="1002" t="s">
        <v>1044</v>
      </c>
      <c r="E921" s="413" t="s">
        <v>25</v>
      </c>
      <c r="F921" s="412">
        <v>0.01</v>
      </c>
      <c r="G921" s="414">
        <v>150</v>
      </c>
      <c r="H921" s="1059">
        <f>F921*G921</f>
        <v>1.5</v>
      </c>
      <c r="I921" s="1002" t="s">
        <v>1046</v>
      </c>
      <c r="J921" s="412">
        <v>1</v>
      </c>
      <c r="K921" s="414">
        <v>1</v>
      </c>
      <c r="L921" s="412">
        <v>4.25</v>
      </c>
      <c r="M921" s="412">
        <v>12.5</v>
      </c>
      <c r="N921" s="1091">
        <f>K921*L921/M921</f>
        <v>0.34</v>
      </c>
      <c r="O921" s="1002" t="s">
        <v>1175</v>
      </c>
      <c r="P921" s="412">
        <v>1</v>
      </c>
      <c r="Q921" s="412">
        <v>0.5</v>
      </c>
      <c r="R921" s="414">
        <v>100</v>
      </c>
      <c r="S921" s="414">
        <v>12.5</v>
      </c>
      <c r="T921" s="515">
        <f>P921*Q921*R921/S921</f>
        <v>4</v>
      </c>
      <c r="U921" s="507"/>
      <c r="V921" s="1015"/>
    </row>
    <row r="922" spans="1:22" ht="12.75">
      <c r="A922" s="1002"/>
      <c r="B922" s="546" t="s">
        <v>2318</v>
      </c>
      <c r="C922" s="1039"/>
      <c r="D922" s="1002"/>
      <c r="E922" s="413"/>
      <c r="F922" s="412"/>
      <c r="G922" s="414"/>
      <c r="H922" s="1059"/>
      <c r="I922" s="1002" t="s">
        <v>1175</v>
      </c>
      <c r="J922" s="412">
        <v>1</v>
      </c>
      <c r="K922" s="414">
        <v>1</v>
      </c>
      <c r="L922" s="412">
        <v>2.5</v>
      </c>
      <c r="M922" s="412">
        <v>12.5</v>
      </c>
      <c r="N922" s="1091">
        <f>K922*L922/M922</f>
        <v>0.2</v>
      </c>
      <c r="O922" s="1002"/>
      <c r="P922" s="412"/>
      <c r="Q922" s="412"/>
      <c r="R922" s="412"/>
      <c r="S922" s="412"/>
      <c r="T922" s="514"/>
      <c r="U922" s="507"/>
      <c r="V922" s="1015"/>
    </row>
    <row r="923" spans="1:22" ht="12.75">
      <c r="A923" s="1002"/>
      <c r="B923" s="546" t="s">
        <v>1098</v>
      </c>
      <c r="C923" s="1039"/>
      <c r="D923" s="1002"/>
      <c r="E923" s="413"/>
      <c r="F923" s="412"/>
      <c r="G923" s="414"/>
      <c r="H923" s="1057"/>
      <c r="I923" s="1002" t="s">
        <v>1176</v>
      </c>
      <c r="J923" s="412">
        <v>1</v>
      </c>
      <c r="K923" s="414">
        <v>1</v>
      </c>
      <c r="L923" s="412">
        <v>3</v>
      </c>
      <c r="M923" s="412">
        <v>12.5</v>
      </c>
      <c r="N923" s="1091">
        <f>K923*L923/M923</f>
        <v>0.24</v>
      </c>
      <c r="O923" s="1002"/>
      <c r="P923" s="412"/>
      <c r="Q923" s="412"/>
      <c r="R923" s="412"/>
      <c r="S923" s="412"/>
      <c r="T923" s="514"/>
      <c r="U923" s="507"/>
      <c r="V923" s="1015"/>
    </row>
    <row r="924" spans="1:22" ht="12.75">
      <c r="A924" s="1002"/>
      <c r="B924" s="546" t="s">
        <v>2319</v>
      </c>
      <c r="C924" s="1039"/>
      <c r="D924" s="1002"/>
      <c r="E924" s="413"/>
      <c r="F924" s="412"/>
      <c r="G924" s="414"/>
      <c r="H924" s="1057"/>
      <c r="I924" s="1002" t="s">
        <v>1177</v>
      </c>
      <c r="J924" s="412">
        <v>10</v>
      </c>
      <c r="K924" s="414">
        <v>1</v>
      </c>
      <c r="L924" s="412">
        <v>1.2</v>
      </c>
      <c r="M924" s="412">
        <v>12.5</v>
      </c>
      <c r="N924" s="1091">
        <f>K924*L924/M924</f>
        <v>0.096</v>
      </c>
      <c r="O924" s="1002"/>
      <c r="P924" s="412"/>
      <c r="Q924" s="412"/>
      <c r="R924" s="412"/>
      <c r="S924" s="412"/>
      <c r="T924" s="514"/>
      <c r="U924" s="507"/>
      <c r="V924" s="1015"/>
    </row>
    <row r="925" spans="1:22" ht="12.75">
      <c r="A925" s="1002"/>
      <c r="B925" s="546" t="s">
        <v>2314</v>
      </c>
      <c r="C925" s="1039" t="s">
        <v>24</v>
      </c>
      <c r="D925" s="1002"/>
      <c r="E925" s="413"/>
      <c r="F925" s="412"/>
      <c r="G925" s="414"/>
      <c r="H925" s="1057"/>
      <c r="I925" s="1002"/>
      <c r="J925" s="412"/>
      <c r="K925" s="414"/>
      <c r="L925" s="412"/>
      <c r="M925" s="412"/>
      <c r="N925" s="1091"/>
      <c r="O925" s="1002"/>
      <c r="P925" s="412"/>
      <c r="Q925" s="412"/>
      <c r="R925" s="412"/>
      <c r="S925" s="412"/>
      <c r="T925" s="514"/>
      <c r="U925" s="507"/>
      <c r="V925" s="1015"/>
    </row>
    <row r="926" spans="1:22" ht="12.75">
      <c r="A926" s="1017"/>
      <c r="B926" s="1036"/>
      <c r="C926" s="1055"/>
      <c r="D926" s="1017"/>
      <c r="E926" s="544"/>
      <c r="F926" s="545"/>
      <c r="G926" s="545"/>
      <c r="H926" s="1015">
        <f>SUM(H919:H925)</f>
        <v>12.5</v>
      </c>
      <c r="I926" s="1017"/>
      <c r="J926" s="545"/>
      <c r="K926" s="545"/>
      <c r="L926" s="545"/>
      <c r="M926" s="545"/>
      <c r="N926" s="1015">
        <f>SUM(N919:N925)</f>
        <v>1.096</v>
      </c>
      <c r="O926" s="1017"/>
      <c r="P926" s="545"/>
      <c r="Q926" s="545"/>
      <c r="R926" s="545"/>
      <c r="S926" s="545"/>
      <c r="T926" s="545">
        <f>SUM(T919:T925)</f>
        <v>10</v>
      </c>
      <c r="U926" s="545">
        <f>T926+N926+H926</f>
        <v>23.596</v>
      </c>
      <c r="V926" s="1015">
        <f>U926*$U$4</f>
        <v>31.8155380018</v>
      </c>
    </row>
    <row r="927" spans="1:22" ht="12.75">
      <c r="A927" s="1002"/>
      <c r="B927" s="546"/>
      <c r="C927" s="1039"/>
      <c r="D927" s="1002"/>
      <c r="E927" s="413"/>
      <c r="F927" s="412"/>
      <c r="G927" s="414"/>
      <c r="H927" s="1059"/>
      <c r="I927" s="1002"/>
      <c r="J927" s="412"/>
      <c r="K927" s="414"/>
      <c r="L927" s="412"/>
      <c r="M927" s="420"/>
      <c r="N927" s="1090"/>
      <c r="O927" s="1008"/>
      <c r="P927" s="420"/>
      <c r="Q927" s="420"/>
      <c r="R927" s="420"/>
      <c r="S927" s="420"/>
      <c r="T927" s="514"/>
      <c r="U927" s="508"/>
      <c r="V927" s="1015"/>
    </row>
    <row r="928" spans="1:22" ht="12.75">
      <c r="A928" s="1002">
        <v>5</v>
      </c>
      <c r="B928" s="546" t="s">
        <v>2315</v>
      </c>
      <c r="C928" s="1039"/>
      <c r="D928" s="1002" t="s">
        <v>2194</v>
      </c>
      <c r="E928" s="413" t="s">
        <v>86</v>
      </c>
      <c r="F928" s="412">
        <v>1.43</v>
      </c>
      <c r="G928" s="414">
        <v>5.5</v>
      </c>
      <c r="H928" s="1059">
        <f>F928*G928</f>
        <v>7.864999999999999</v>
      </c>
      <c r="I928" s="1002"/>
      <c r="J928" s="412"/>
      <c r="K928" s="414"/>
      <c r="L928" s="412"/>
      <c r="M928" s="412"/>
      <c r="N928" s="1091"/>
      <c r="O928" s="1002"/>
      <c r="P928" s="412"/>
      <c r="Q928" s="412"/>
      <c r="R928" s="412"/>
      <c r="S928" s="412"/>
      <c r="T928" s="514"/>
      <c r="U928" s="507"/>
      <c r="V928" s="1015"/>
    </row>
    <row r="929" spans="1:22" ht="12.75">
      <c r="A929" s="1002"/>
      <c r="B929" s="546" t="s">
        <v>2191</v>
      </c>
      <c r="C929" s="1039"/>
      <c r="D929" s="1002" t="s">
        <v>1709</v>
      </c>
      <c r="E929" s="413"/>
      <c r="F929" s="412"/>
      <c r="G929" s="414"/>
      <c r="H929" s="1057"/>
      <c r="I929" s="1002"/>
      <c r="J929" s="412"/>
      <c r="K929" s="414"/>
      <c r="L929" s="412"/>
      <c r="M929" s="412"/>
      <c r="N929" s="1091"/>
      <c r="O929" s="1002"/>
      <c r="P929" s="412"/>
      <c r="Q929" s="412"/>
      <c r="R929" s="412"/>
      <c r="S929" s="412"/>
      <c r="T929" s="514"/>
      <c r="U929" s="507"/>
      <c r="V929" s="1015"/>
    </row>
    <row r="930" spans="1:22" ht="12.75">
      <c r="A930" s="1002"/>
      <c r="B930" s="546" t="s">
        <v>2192</v>
      </c>
      <c r="C930" s="1039"/>
      <c r="D930" s="1002" t="s">
        <v>2195</v>
      </c>
      <c r="E930" s="413"/>
      <c r="F930" s="412"/>
      <c r="G930" s="414"/>
      <c r="H930" s="1057"/>
      <c r="I930" s="1002"/>
      <c r="J930" s="412"/>
      <c r="K930" s="414" t="s">
        <v>2197</v>
      </c>
      <c r="L930" s="412"/>
      <c r="M930" s="412"/>
      <c r="N930" s="1091"/>
      <c r="O930" s="1002"/>
      <c r="P930" s="412"/>
      <c r="Q930" s="412"/>
      <c r="R930" s="412" t="s">
        <v>2197</v>
      </c>
      <c r="S930" s="412"/>
      <c r="T930" s="514"/>
      <c r="U930" s="507"/>
      <c r="V930" s="1015"/>
    </row>
    <row r="931" spans="1:22" ht="12.75">
      <c r="A931" s="1002"/>
      <c r="B931" s="546" t="s">
        <v>2193</v>
      </c>
      <c r="C931" s="1039" t="s">
        <v>24</v>
      </c>
      <c r="D931" s="1086" t="s">
        <v>2196</v>
      </c>
      <c r="E931" s="413" t="s">
        <v>25</v>
      </c>
      <c r="F931" s="412">
        <v>0.005</v>
      </c>
      <c r="G931" s="414">
        <v>150</v>
      </c>
      <c r="H931" s="1057">
        <f>F931*G931</f>
        <v>0.75</v>
      </c>
      <c r="I931" s="1002"/>
      <c r="J931" s="412"/>
      <c r="K931" s="414"/>
      <c r="L931" s="412"/>
      <c r="M931" s="412"/>
      <c r="N931" s="1091"/>
      <c r="O931" s="1002"/>
      <c r="P931" s="412"/>
      <c r="Q931" s="412"/>
      <c r="R931" s="412"/>
      <c r="S931" s="412"/>
      <c r="T931" s="514"/>
      <c r="U931" s="507"/>
      <c r="V931" s="1015"/>
    </row>
    <row r="932" spans="1:22" ht="12.75">
      <c r="A932" s="1017"/>
      <c r="B932" s="1036"/>
      <c r="C932" s="1055"/>
      <c r="D932" s="1017"/>
      <c r="E932" s="544"/>
      <c r="F932" s="545"/>
      <c r="G932" s="545"/>
      <c r="H932" s="1015">
        <f>H926+H931</f>
        <v>13.25</v>
      </c>
      <c r="I932" s="1017"/>
      <c r="J932" s="545"/>
      <c r="K932" s="545"/>
      <c r="L932" s="545"/>
      <c r="M932" s="545"/>
      <c r="N932" s="1015">
        <f>N926</f>
        <v>1.096</v>
      </c>
      <c r="O932" s="1017"/>
      <c r="P932" s="545"/>
      <c r="Q932" s="545"/>
      <c r="R932" s="545"/>
      <c r="S932" s="545"/>
      <c r="T932" s="545">
        <f>T926</f>
        <v>10</v>
      </c>
      <c r="U932" s="545">
        <f>H932+M932+T932</f>
        <v>23.25</v>
      </c>
      <c r="V932" s="1015">
        <f>U932*$U$4</f>
        <v>31.3490107875</v>
      </c>
    </row>
    <row r="933" spans="1:22" ht="12.75">
      <c r="A933" s="1002"/>
      <c r="B933" s="546"/>
      <c r="C933" s="1039"/>
      <c r="D933" s="1002"/>
      <c r="E933" s="413"/>
      <c r="F933" s="412"/>
      <c r="G933" s="414"/>
      <c r="H933" s="1057"/>
      <c r="I933" s="1002"/>
      <c r="J933" s="412"/>
      <c r="K933" s="414"/>
      <c r="L933" s="412"/>
      <c r="M933" s="420"/>
      <c r="N933" s="1091"/>
      <c r="O933" s="1002"/>
      <c r="P933" s="412"/>
      <c r="Q933" s="412"/>
      <c r="R933" s="412"/>
      <c r="S933" s="412"/>
      <c r="T933" s="514"/>
      <c r="U933" s="507"/>
      <c r="V933" s="1015"/>
    </row>
    <row r="934" spans="1:22" ht="12.75">
      <c r="A934" s="1002">
        <v>6</v>
      </c>
      <c r="B934" s="546" t="s">
        <v>2316</v>
      </c>
      <c r="C934" s="1039"/>
      <c r="D934" s="1002" t="s">
        <v>1989</v>
      </c>
      <c r="E934" s="413"/>
      <c r="F934" s="412"/>
      <c r="G934" s="414"/>
      <c r="H934" s="1057"/>
      <c r="I934" s="1002"/>
      <c r="J934" s="412"/>
      <c r="K934" s="414"/>
      <c r="L934" s="412"/>
      <c r="M934" s="420"/>
      <c r="N934" s="1091"/>
      <c r="O934" s="1002"/>
      <c r="P934" s="412"/>
      <c r="Q934" s="412"/>
      <c r="R934" s="412"/>
      <c r="S934" s="412"/>
      <c r="T934" s="514"/>
      <c r="U934" s="507"/>
      <c r="V934" s="1015"/>
    </row>
    <row r="935" spans="1:22" ht="12.75">
      <c r="A935" s="1002"/>
      <c r="B935" s="546" t="s">
        <v>2198</v>
      </c>
      <c r="C935" s="1039"/>
      <c r="D935" s="1002" t="s">
        <v>1709</v>
      </c>
      <c r="E935" s="413" t="s">
        <v>86</v>
      </c>
      <c r="F935" s="412">
        <v>1.1</v>
      </c>
      <c r="G935" s="414">
        <v>5.5</v>
      </c>
      <c r="H935" s="1057">
        <f>F935*G935</f>
        <v>6.050000000000001</v>
      </c>
      <c r="I935" s="1002"/>
      <c r="J935" s="412"/>
      <c r="K935" s="414" t="s">
        <v>2197</v>
      </c>
      <c r="L935" s="412"/>
      <c r="M935" s="420"/>
      <c r="N935" s="1091"/>
      <c r="O935" s="1002"/>
      <c r="P935" s="412"/>
      <c r="Q935" s="412"/>
      <c r="R935" s="412" t="s">
        <v>2197</v>
      </c>
      <c r="S935" s="412"/>
      <c r="T935" s="514"/>
      <c r="U935" s="507"/>
      <c r="V935" s="1015"/>
    </row>
    <row r="936" spans="1:22" ht="12.75">
      <c r="A936" s="1002"/>
      <c r="B936" s="546" t="s">
        <v>1987</v>
      </c>
      <c r="C936" s="1039"/>
      <c r="D936" s="1002" t="s">
        <v>1990</v>
      </c>
      <c r="E936" s="413"/>
      <c r="F936" s="412"/>
      <c r="G936" s="414"/>
      <c r="H936" s="1057"/>
      <c r="I936" s="1002"/>
      <c r="J936" s="412"/>
      <c r="K936" s="414"/>
      <c r="L936" s="412"/>
      <c r="M936" s="420"/>
      <c r="N936" s="1091"/>
      <c r="O936" s="1002"/>
      <c r="P936" s="412"/>
      <c r="Q936" s="412"/>
      <c r="R936" s="412"/>
      <c r="S936" s="412"/>
      <c r="T936" s="514"/>
      <c r="U936" s="507"/>
      <c r="V936" s="1015"/>
    </row>
    <row r="937" spans="1:22" ht="12.75">
      <c r="A937" s="1002"/>
      <c r="B937" s="546" t="s">
        <v>2313</v>
      </c>
      <c r="C937" s="1039"/>
      <c r="D937" s="1002" t="s">
        <v>2195</v>
      </c>
      <c r="E937" s="413" t="s">
        <v>484</v>
      </c>
      <c r="F937" s="412">
        <v>0.003</v>
      </c>
      <c r="G937" s="414">
        <v>150</v>
      </c>
      <c r="H937" s="1057">
        <f>F937*G937</f>
        <v>0.45</v>
      </c>
      <c r="I937" s="1002"/>
      <c r="J937" s="412"/>
      <c r="K937" s="414"/>
      <c r="L937" s="412"/>
      <c r="M937" s="420"/>
      <c r="N937" s="1091"/>
      <c r="O937" s="1002"/>
      <c r="P937" s="412"/>
      <c r="Q937" s="412"/>
      <c r="R937" s="412"/>
      <c r="S937" s="412"/>
      <c r="T937" s="514"/>
      <c r="U937" s="507"/>
      <c r="V937" s="1015"/>
    </row>
    <row r="938" spans="1:22" ht="12.75">
      <c r="A938" s="1002"/>
      <c r="B938" s="546" t="s">
        <v>1988</v>
      </c>
      <c r="C938" s="1039" t="s">
        <v>24</v>
      </c>
      <c r="D938" s="1002"/>
      <c r="E938" s="413"/>
      <c r="F938" s="412"/>
      <c r="G938" s="412"/>
      <c r="H938" s="1059"/>
      <c r="I938" s="1002"/>
      <c r="J938" s="412"/>
      <c r="K938" s="414"/>
      <c r="L938" s="412"/>
      <c r="M938" s="420"/>
      <c r="N938" s="1090"/>
      <c r="O938" s="1002"/>
      <c r="P938" s="412"/>
      <c r="Q938" s="412"/>
      <c r="R938" s="412"/>
      <c r="S938" s="412"/>
      <c r="T938" s="514"/>
      <c r="U938" s="508"/>
      <c r="V938" s="1015"/>
    </row>
    <row r="939" spans="1:22" ht="12.75">
      <c r="A939" s="1017"/>
      <c r="B939" s="1036"/>
      <c r="C939" s="1055"/>
      <c r="D939" s="1017"/>
      <c r="E939" s="544"/>
      <c r="F939" s="545"/>
      <c r="G939" s="545"/>
      <c r="H939" s="1015">
        <f>SUM(H935:H937)</f>
        <v>6.500000000000001</v>
      </c>
      <c r="I939" s="1017"/>
      <c r="J939" s="545"/>
      <c r="K939" s="545"/>
      <c r="L939" s="545"/>
      <c r="M939" s="545">
        <f>M933</f>
        <v>0</v>
      </c>
      <c r="N939" s="1015">
        <f>N932</f>
        <v>1.096</v>
      </c>
      <c r="O939" s="1017"/>
      <c r="P939" s="545"/>
      <c r="Q939" s="545"/>
      <c r="R939" s="545"/>
      <c r="S939" s="545"/>
      <c r="T939" s="545">
        <f>T932</f>
        <v>10</v>
      </c>
      <c r="U939" s="545">
        <f>SUM(U932:U938)</f>
        <v>23.25</v>
      </c>
      <c r="V939" s="1015">
        <f>U939*$U$4</f>
        <v>31.3490107875</v>
      </c>
    </row>
    <row r="940" spans="1:22" ht="20.25" customHeight="1" thickBot="1">
      <c r="A940" s="1018"/>
      <c r="B940" s="1037" t="s">
        <v>2317</v>
      </c>
      <c r="C940" s="1056" t="s">
        <v>24</v>
      </c>
      <c r="D940" s="1087"/>
      <c r="E940" s="1019"/>
      <c r="F940" s="1020"/>
      <c r="G940" s="1020"/>
      <c r="H940" s="1088"/>
      <c r="I940" s="1096"/>
      <c r="J940" s="1021"/>
      <c r="K940" s="1022"/>
      <c r="L940" s="1021"/>
      <c r="M940" s="1021"/>
      <c r="N940" s="1088"/>
      <c r="O940" s="1096"/>
      <c r="P940" s="1021"/>
      <c r="Q940" s="1021"/>
      <c r="R940" s="1021"/>
      <c r="S940" s="1021"/>
      <c r="T940" s="1021"/>
      <c r="U940" s="1022"/>
      <c r="V940" s="1023">
        <f>V939+V932+V926</f>
        <v>94.51355957679999</v>
      </c>
    </row>
    <row r="941" spans="1:22" ht="12.75">
      <c r="A941" s="64"/>
      <c r="B941" s="64"/>
      <c r="C941" s="423"/>
      <c r="D941" s="64"/>
      <c r="E941" s="423"/>
      <c r="F941" s="64"/>
      <c r="G941" s="64"/>
      <c r="H941" s="419"/>
      <c r="I941" s="64"/>
      <c r="J941" s="64"/>
      <c r="K941" s="424"/>
      <c r="L941" s="64"/>
      <c r="M941" s="64"/>
      <c r="N941" s="510"/>
      <c r="O941" s="64"/>
      <c r="P941" s="64"/>
      <c r="Q941" s="64"/>
      <c r="R941" s="64"/>
      <c r="S941" s="64"/>
      <c r="T941" s="516"/>
      <c r="U941" s="64"/>
      <c r="V941" s="64"/>
    </row>
    <row r="942" spans="1:22" ht="12.75">
      <c r="A942" s="64"/>
      <c r="B942" s="64"/>
      <c r="C942" s="423"/>
      <c r="D942" s="64"/>
      <c r="E942" s="423"/>
      <c r="F942" s="64"/>
      <c r="G942" s="64"/>
      <c r="H942" s="419"/>
      <c r="I942" s="64"/>
      <c r="J942" s="64"/>
      <c r="K942" s="424"/>
      <c r="L942" s="64"/>
      <c r="M942" s="64"/>
      <c r="N942" s="510"/>
      <c r="O942" s="64"/>
      <c r="P942" s="64"/>
      <c r="Q942" s="64"/>
      <c r="R942" s="64"/>
      <c r="S942" s="64"/>
      <c r="T942" s="516"/>
      <c r="U942" s="64"/>
      <c r="V942" s="64"/>
    </row>
    <row r="943" spans="1:22" ht="12.75">
      <c r="A943" s="64"/>
      <c r="B943" s="64"/>
      <c r="C943" s="423"/>
      <c r="D943" s="64"/>
      <c r="E943" s="423"/>
      <c r="F943" s="64"/>
      <c r="G943" s="64"/>
      <c r="H943" s="419"/>
      <c r="I943" s="64"/>
      <c r="J943" s="64"/>
      <c r="K943" s="424"/>
      <c r="L943" s="64"/>
      <c r="M943" s="64"/>
      <c r="N943" s="510"/>
      <c r="O943" s="64"/>
      <c r="P943" s="64"/>
      <c r="Q943" s="64"/>
      <c r="R943" s="64"/>
      <c r="S943" s="64"/>
      <c r="T943" s="516"/>
      <c r="U943" s="64"/>
      <c r="V943" s="64"/>
    </row>
    <row r="944" spans="1:22" ht="12.75">
      <c r="A944" s="64"/>
      <c r="B944" s="64"/>
      <c r="C944" s="423"/>
      <c r="D944" s="64"/>
      <c r="E944" s="423"/>
      <c r="F944" s="64"/>
      <c r="G944" s="64"/>
      <c r="H944" s="419"/>
      <c r="I944" s="64"/>
      <c r="J944" s="64"/>
      <c r="K944" s="424"/>
      <c r="L944" s="64"/>
      <c r="M944" s="64"/>
      <c r="N944" s="511"/>
      <c r="O944" s="64"/>
      <c r="P944" s="64"/>
      <c r="Q944" s="64"/>
      <c r="R944" s="64"/>
      <c r="S944" s="64"/>
      <c r="T944" s="516"/>
      <c r="U944" s="64"/>
      <c r="V944" s="424"/>
    </row>
    <row r="945" spans="1:22" ht="12.75">
      <c r="A945" s="64"/>
      <c r="B945" s="64"/>
      <c r="C945" s="423"/>
      <c r="D945" s="64"/>
      <c r="E945" s="423"/>
      <c r="F945" s="64"/>
      <c r="G945" s="64"/>
      <c r="H945" s="419"/>
      <c r="I945" s="64"/>
      <c r="J945" s="64"/>
      <c r="K945" s="424"/>
      <c r="L945" s="64"/>
      <c r="M945" s="64"/>
      <c r="N945" s="511"/>
      <c r="O945" s="64"/>
      <c r="P945" s="64"/>
      <c r="Q945" s="64"/>
      <c r="R945" s="64"/>
      <c r="S945" s="64"/>
      <c r="T945" s="516"/>
      <c r="U945" s="424"/>
      <c r="V945" s="424"/>
    </row>
    <row r="946" spans="1:22" ht="12.75">
      <c r="A946" s="64"/>
      <c r="B946" s="64"/>
      <c r="C946" s="423"/>
      <c r="D946" s="64"/>
      <c r="E946" s="423"/>
      <c r="F946" s="64"/>
      <c r="G946" s="64"/>
      <c r="H946" s="419"/>
      <c r="I946" s="64"/>
      <c r="J946" s="64"/>
      <c r="K946" s="424"/>
      <c r="L946" s="64"/>
      <c r="M946" s="64"/>
      <c r="N946" s="510"/>
      <c r="O946" s="64"/>
      <c r="P946" s="64"/>
      <c r="Q946" s="64"/>
      <c r="R946" s="64"/>
      <c r="S946" s="64"/>
      <c r="T946" s="516"/>
      <c r="U946" s="64"/>
      <c r="V946" s="64"/>
    </row>
    <row r="947" spans="1:22" ht="12.75">
      <c r="A947" s="64"/>
      <c r="B947" s="64"/>
      <c r="C947" s="423"/>
      <c r="D947" s="64"/>
      <c r="E947" s="423"/>
      <c r="F947" s="64"/>
      <c r="G947" s="64"/>
      <c r="H947" s="419"/>
      <c r="I947" s="64"/>
      <c r="J947" s="64"/>
      <c r="K947" s="424"/>
      <c r="L947" s="64"/>
      <c r="M947" s="64"/>
      <c r="N947" s="510"/>
      <c r="O947" s="64"/>
      <c r="P947" s="64"/>
      <c r="Q947" s="64"/>
      <c r="R947" s="64"/>
      <c r="S947" s="64"/>
      <c r="T947" s="516"/>
      <c r="U947" s="64"/>
      <c r="V947" s="64"/>
    </row>
    <row r="948" spans="1:22" ht="12.75">
      <c r="A948" s="64"/>
      <c r="B948" s="64"/>
      <c r="C948" s="423"/>
      <c r="D948" s="64"/>
      <c r="E948" s="423"/>
      <c r="F948" s="64"/>
      <c r="G948" s="64"/>
      <c r="H948" s="419"/>
      <c r="I948" s="64"/>
      <c r="J948" s="64"/>
      <c r="K948" s="424"/>
      <c r="L948" s="64"/>
      <c r="M948" s="64"/>
      <c r="N948" s="510"/>
      <c r="O948" s="64"/>
      <c r="P948" s="64"/>
      <c r="Q948" s="64"/>
      <c r="R948" s="64"/>
      <c r="S948" s="64"/>
      <c r="T948" s="516"/>
      <c r="U948" s="64"/>
      <c r="V948" s="64"/>
    </row>
    <row r="949" spans="1:22" ht="12.75">
      <c r="A949" s="64"/>
      <c r="B949" s="64"/>
      <c r="C949" s="423"/>
      <c r="D949" s="64"/>
      <c r="E949" s="423"/>
      <c r="F949" s="64"/>
      <c r="G949" s="64"/>
      <c r="H949" s="419"/>
      <c r="I949" s="64"/>
      <c r="J949" s="64"/>
      <c r="K949" s="424"/>
      <c r="L949" s="64"/>
      <c r="M949" s="64"/>
      <c r="N949" s="511"/>
      <c r="O949" s="64"/>
      <c r="P949" s="64"/>
      <c r="Q949" s="64"/>
      <c r="R949" s="64"/>
      <c r="S949" s="64"/>
      <c r="T949" s="516"/>
      <c r="U949" s="64"/>
      <c r="V949" s="424"/>
    </row>
    <row r="950" spans="1:22" ht="12.75">
      <c r="A950" s="64"/>
      <c r="B950" s="64"/>
      <c r="C950" s="423"/>
      <c r="D950" s="64"/>
      <c r="E950" s="423"/>
      <c r="F950" s="64"/>
      <c r="G950" s="64"/>
      <c r="H950" s="419"/>
      <c r="I950" s="64"/>
      <c r="J950" s="64"/>
      <c r="K950" s="424"/>
      <c r="L950" s="64"/>
      <c r="M950" s="64"/>
      <c r="N950" s="511"/>
      <c r="O950" s="64"/>
      <c r="P950" s="64"/>
      <c r="Q950" s="64"/>
      <c r="R950" s="64"/>
      <c r="S950" s="64"/>
      <c r="T950" s="516"/>
      <c r="U950" s="424"/>
      <c r="V950" s="424"/>
    </row>
    <row r="951" spans="1:22" ht="12.75">
      <c r="A951" s="64"/>
      <c r="B951" s="64"/>
      <c r="C951" s="423"/>
      <c r="D951" s="64"/>
      <c r="E951" s="423"/>
      <c r="F951" s="64"/>
      <c r="G951" s="64"/>
      <c r="H951" s="419"/>
      <c r="I951" s="64"/>
      <c r="J951" s="64"/>
      <c r="K951" s="424"/>
      <c r="L951" s="64"/>
      <c r="M951" s="64"/>
      <c r="N951" s="510"/>
      <c r="O951" s="64"/>
      <c r="P951" s="64"/>
      <c r="Q951" s="64"/>
      <c r="R951" s="64"/>
      <c r="S951" s="64"/>
      <c r="T951" s="516"/>
      <c r="U951" s="64"/>
      <c r="V951" s="64"/>
    </row>
    <row r="952" spans="1:22" ht="12.75">
      <c r="A952" s="64"/>
      <c r="B952" s="64"/>
      <c r="C952" s="423"/>
      <c r="D952" s="64"/>
      <c r="E952" s="423"/>
      <c r="F952" s="64"/>
      <c r="G952" s="64"/>
      <c r="H952" s="419"/>
      <c r="I952" s="64"/>
      <c r="J952" s="64"/>
      <c r="K952" s="424"/>
      <c r="L952" s="64"/>
      <c r="M952" s="64"/>
      <c r="N952" s="510"/>
      <c r="O952" s="64"/>
      <c r="P952" s="64"/>
      <c r="Q952" s="64"/>
      <c r="R952" s="64"/>
      <c r="S952" s="64"/>
      <c r="T952" s="516"/>
      <c r="U952" s="64"/>
      <c r="V952" s="64"/>
    </row>
    <row r="953" spans="1:22" ht="12.75">
      <c r="A953" s="64"/>
      <c r="B953" s="64"/>
      <c r="C953" s="423"/>
      <c r="D953" s="64"/>
      <c r="E953" s="423"/>
      <c r="F953" s="64"/>
      <c r="G953" s="64"/>
      <c r="H953" s="419"/>
      <c r="I953" s="64"/>
      <c r="J953" s="64"/>
      <c r="K953" s="424"/>
      <c r="L953" s="64"/>
      <c r="M953" s="64"/>
      <c r="N953" s="510"/>
      <c r="O953" s="64"/>
      <c r="P953" s="64"/>
      <c r="Q953" s="64"/>
      <c r="R953" s="64"/>
      <c r="S953" s="64"/>
      <c r="T953" s="516"/>
      <c r="U953" s="64"/>
      <c r="V953" s="64"/>
    </row>
    <row r="954" spans="1:22" ht="12.75">
      <c r="A954" s="64"/>
      <c r="B954" s="64"/>
      <c r="C954" s="423"/>
      <c r="D954" s="64"/>
      <c r="E954" s="423"/>
      <c r="F954" s="64"/>
      <c r="G954" s="64"/>
      <c r="H954" s="419"/>
      <c r="I954" s="64"/>
      <c r="J954" s="64"/>
      <c r="K954" s="424"/>
      <c r="L954" s="64"/>
      <c r="M954" s="64"/>
      <c r="N954" s="511"/>
      <c r="O954" s="64"/>
      <c r="P954" s="64"/>
      <c r="Q954" s="64"/>
      <c r="R954" s="64"/>
      <c r="S954" s="64"/>
      <c r="T954" s="516"/>
      <c r="U954" s="64"/>
      <c r="V954" s="424"/>
    </row>
    <row r="955" spans="1:22" ht="12.75">
      <c r="A955" s="64"/>
      <c r="B955" s="64"/>
      <c r="C955" s="423"/>
      <c r="D955" s="64"/>
      <c r="E955" s="423"/>
      <c r="F955" s="64"/>
      <c r="G955" s="64"/>
      <c r="H955" s="419"/>
      <c r="I955" s="64"/>
      <c r="J955" s="64"/>
      <c r="K955" s="424"/>
      <c r="L955" s="64"/>
      <c r="M955" s="64"/>
      <c r="N955" s="511"/>
      <c r="O955" s="64"/>
      <c r="P955" s="64"/>
      <c r="Q955" s="64"/>
      <c r="R955" s="64"/>
      <c r="S955" s="64"/>
      <c r="T955" s="516"/>
      <c r="U955" s="424"/>
      <c r="V955" s="424"/>
    </row>
    <row r="956" spans="1:22" ht="12.75">
      <c r="A956" s="64"/>
      <c r="B956" s="64"/>
      <c r="C956" s="423"/>
      <c r="D956" s="64"/>
      <c r="E956" s="423"/>
      <c r="F956" s="64"/>
      <c r="G956" s="64"/>
      <c r="H956" s="419"/>
      <c r="I956" s="64"/>
      <c r="J956" s="64"/>
      <c r="K956" s="424"/>
      <c r="L956" s="64"/>
      <c r="M956" s="64"/>
      <c r="N956" s="510"/>
      <c r="O956" s="64"/>
      <c r="P956" s="64"/>
      <c r="Q956" s="64"/>
      <c r="R956" s="64"/>
      <c r="S956" s="64"/>
      <c r="T956" s="516"/>
      <c r="U956" s="64"/>
      <c r="V956" s="64"/>
    </row>
    <row r="957" spans="1:22" ht="12.75">
      <c r="A957" s="64"/>
      <c r="B957" s="64"/>
      <c r="C957" s="423"/>
      <c r="D957" s="64"/>
      <c r="E957" s="423"/>
      <c r="F957" s="64"/>
      <c r="G957" s="64"/>
      <c r="H957" s="419"/>
      <c r="I957" s="64"/>
      <c r="J957" s="64"/>
      <c r="K957" s="424"/>
      <c r="L957" s="64"/>
      <c r="M957" s="64"/>
      <c r="N957" s="510"/>
      <c r="O957" s="64"/>
      <c r="P957" s="64"/>
      <c r="Q957" s="64"/>
      <c r="R957" s="64"/>
      <c r="S957" s="64"/>
      <c r="T957" s="516"/>
      <c r="U957" s="64"/>
      <c r="V957" s="64"/>
    </row>
    <row r="958" spans="1:22" ht="12.75">
      <c r="A958" s="64"/>
      <c r="B958" s="64"/>
      <c r="C958" s="423"/>
      <c r="D958" s="64"/>
      <c r="E958" s="423"/>
      <c r="F958" s="64"/>
      <c r="G958" s="64"/>
      <c r="H958" s="419"/>
      <c r="I958" s="64"/>
      <c r="J958" s="64"/>
      <c r="K958" s="424"/>
      <c r="L958" s="64"/>
      <c r="M958" s="64"/>
      <c r="N958" s="510"/>
      <c r="O958" s="64"/>
      <c r="P958" s="64"/>
      <c r="Q958" s="64"/>
      <c r="R958" s="64"/>
      <c r="S958" s="64"/>
      <c r="T958" s="516"/>
      <c r="U958" s="64"/>
      <c r="V958" s="64"/>
    </row>
    <row r="959" spans="1:22" ht="12.75">
      <c r="A959" s="64"/>
      <c r="B959" s="64"/>
      <c r="C959" s="423"/>
      <c r="D959" s="64"/>
      <c r="E959" s="423"/>
      <c r="F959" s="64"/>
      <c r="G959" s="64"/>
      <c r="H959" s="419"/>
      <c r="I959" s="64"/>
      <c r="J959" s="64"/>
      <c r="K959" s="424"/>
      <c r="L959" s="64"/>
      <c r="M959" s="64"/>
      <c r="N959" s="511"/>
      <c r="O959" s="64"/>
      <c r="P959" s="64"/>
      <c r="Q959" s="64"/>
      <c r="R959" s="64"/>
      <c r="S959" s="64"/>
      <c r="T959" s="516"/>
      <c r="U959" s="64"/>
      <c r="V959" s="424"/>
    </row>
    <row r="960" spans="1:22" ht="12.75">
      <c r="A960" s="64"/>
      <c r="B960" s="64"/>
      <c r="C960" s="423"/>
      <c r="D960" s="64"/>
      <c r="E960" s="423"/>
      <c r="F960" s="64"/>
      <c r="G960" s="64"/>
      <c r="H960" s="419"/>
      <c r="I960" s="64"/>
      <c r="J960" s="64"/>
      <c r="K960" s="424"/>
      <c r="L960" s="64"/>
      <c r="M960" s="64"/>
      <c r="N960" s="511"/>
      <c r="O960" s="64"/>
      <c r="P960" s="64"/>
      <c r="Q960" s="64"/>
      <c r="R960" s="64"/>
      <c r="S960" s="64"/>
      <c r="T960" s="516"/>
      <c r="U960" s="424"/>
      <c r="V960" s="424"/>
    </row>
    <row r="961" spans="1:22" ht="12.75">
      <c r="A961" s="64"/>
      <c r="B961" s="64"/>
      <c r="C961" s="423"/>
      <c r="D961" s="64"/>
      <c r="E961" s="423"/>
      <c r="F961" s="64"/>
      <c r="G961" s="64"/>
      <c r="H961" s="419"/>
      <c r="I961" s="64"/>
      <c r="J961" s="64"/>
      <c r="K961" s="424"/>
      <c r="L961" s="64"/>
      <c r="M961" s="64"/>
      <c r="N961" s="510"/>
      <c r="O961" s="64"/>
      <c r="P961" s="64"/>
      <c r="Q961" s="64"/>
      <c r="R961" s="64"/>
      <c r="S961" s="64"/>
      <c r="T961" s="516"/>
      <c r="U961" s="64"/>
      <c r="V961" s="64"/>
    </row>
    <row r="962" spans="1:22" ht="12.75">
      <c r="A962" s="64"/>
      <c r="B962" s="64"/>
      <c r="C962" s="423"/>
      <c r="D962" s="64"/>
      <c r="E962" s="423"/>
      <c r="F962" s="64"/>
      <c r="G962" s="64"/>
      <c r="H962" s="419"/>
      <c r="I962" s="64"/>
      <c r="J962" s="64"/>
      <c r="K962" s="424"/>
      <c r="L962" s="64"/>
      <c r="M962" s="64"/>
      <c r="N962" s="510"/>
      <c r="O962" s="64"/>
      <c r="P962" s="64"/>
      <c r="Q962" s="64"/>
      <c r="R962" s="64"/>
      <c r="S962" s="64"/>
      <c r="T962" s="516"/>
      <c r="U962" s="64"/>
      <c r="V962" s="64"/>
    </row>
    <row r="963" spans="1:22" ht="12.75">
      <c r="A963" s="64"/>
      <c r="B963" s="64"/>
      <c r="C963" s="423"/>
      <c r="D963" s="64"/>
      <c r="E963" s="423"/>
      <c r="F963" s="64"/>
      <c r="G963" s="64"/>
      <c r="H963" s="419"/>
      <c r="I963" s="64"/>
      <c r="J963" s="64"/>
      <c r="K963" s="424"/>
      <c r="L963" s="64"/>
      <c r="M963" s="64"/>
      <c r="N963" s="510"/>
      <c r="O963" s="64"/>
      <c r="P963" s="64"/>
      <c r="Q963" s="64"/>
      <c r="R963" s="64"/>
      <c r="S963" s="64"/>
      <c r="T963" s="516"/>
      <c r="U963" s="64"/>
      <c r="V963" s="64"/>
    </row>
    <row r="964" spans="1:22" ht="12.75">
      <c r="A964" s="64"/>
      <c r="B964" s="64"/>
      <c r="C964" s="423"/>
      <c r="D964" s="64"/>
      <c r="E964" s="423"/>
      <c r="F964" s="64"/>
      <c r="G964" s="64"/>
      <c r="H964" s="419"/>
      <c r="I964" s="64"/>
      <c r="J964" s="64"/>
      <c r="K964" s="424"/>
      <c r="L964" s="64"/>
      <c r="M964" s="64"/>
      <c r="N964" s="510"/>
      <c r="O964" s="64"/>
      <c r="P964" s="64"/>
      <c r="Q964" s="64"/>
      <c r="R964" s="64"/>
      <c r="S964" s="64"/>
      <c r="T964" s="516"/>
      <c r="U964" s="64"/>
      <c r="V964" s="64"/>
    </row>
    <row r="965" spans="1:22" ht="12.75">
      <c r="A965" s="64"/>
      <c r="B965" s="64"/>
      <c r="C965" s="423"/>
      <c r="D965" s="64"/>
      <c r="E965" s="423"/>
      <c r="F965" s="64"/>
      <c r="G965" s="64"/>
      <c r="H965" s="419"/>
      <c r="I965" s="64"/>
      <c r="J965" s="64"/>
      <c r="K965" s="424"/>
      <c r="L965" s="64"/>
      <c r="M965" s="64"/>
      <c r="N965" s="510"/>
      <c r="O965" s="64"/>
      <c r="P965" s="64"/>
      <c r="Q965" s="64"/>
      <c r="R965" s="64"/>
      <c r="S965" s="64"/>
      <c r="T965" s="516"/>
      <c r="U965" s="64"/>
      <c r="V965" s="64"/>
    </row>
    <row r="966" spans="1:22" ht="12.75">
      <c r="A966" s="64"/>
      <c r="B966" s="64"/>
      <c r="C966" s="423"/>
      <c r="D966" s="64"/>
      <c r="E966" s="423"/>
      <c r="F966" s="64"/>
      <c r="G966" s="64"/>
      <c r="H966" s="419"/>
      <c r="I966" s="64"/>
      <c r="J966" s="64"/>
      <c r="K966" s="424"/>
      <c r="L966" s="64"/>
      <c r="M966" s="64"/>
      <c r="N966" s="510"/>
      <c r="O966" s="64"/>
      <c r="P966" s="64"/>
      <c r="Q966" s="64"/>
      <c r="R966" s="64"/>
      <c r="S966" s="64"/>
      <c r="T966" s="516"/>
      <c r="U966" s="64"/>
      <c r="V966" s="64"/>
    </row>
    <row r="967" spans="1:22" ht="12.75">
      <c r="A967" s="64"/>
      <c r="B967" s="64"/>
      <c r="C967" s="423"/>
      <c r="D967" s="64"/>
      <c r="E967" s="423"/>
      <c r="F967" s="64"/>
      <c r="G967" s="64"/>
      <c r="H967" s="419"/>
      <c r="I967" s="64"/>
      <c r="J967" s="64"/>
      <c r="K967" s="424"/>
      <c r="L967" s="64"/>
      <c r="M967" s="64"/>
      <c r="N967" s="510"/>
      <c r="O967" s="64"/>
      <c r="P967" s="64"/>
      <c r="Q967" s="64"/>
      <c r="R967" s="64"/>
      <c r="S967" s="64"/>
      <c r="T967" s="516"/>
      <c r="U967" s="64"/>
      <c r="V967" s="64"/>
    </row>
    <row r="968" spans="1:22" ht="12.75">
      <c r="A968" s="64"/>
      <c r="B968" s="64"/>
      <c r="C968" s="423"/>
      <c r="D968" s="64"/>
      <c r="E968" s="423"/>
      <c r="F968" s="64"/>
      <c r="G968" s="64"/>
      <c r="H968" s="419"/>
      <c r="I968" s="64"/>
      <c r="J968" s="64"/>
      <c r="K968" s="424"/>
      <c r="L968" s="64"/>
      <c r="M968" s="64"/>
      <c r="N968" s="510"/>
      <c r="O968" s="64"/>
      <c r="P968" s="64"/>
      <c r="Q968" s="64"/>
      <c r="R968" s="64"/>
      <c r="S968" s="64"/>
      <c r="T968" s="516"/>
      <c r="U968" s="64"/>
      <c r="V968" s="64"/>
    </row>
    <row r="969" spans="1:22" ht="12.75">
      <c r="A969" s="64"/>
      <c r="B969" s="64"/>
      <c r="C969" s="423"/>
      <c r="D969" s="64"/>
      <c r="E969" s="423"/>
      <c r="F969" s="64"/>
      <c r="G969" s="64"/>
      <c r="H969" s="419"/>
      <c r="I969" s="64"/>
      <c r="J969" s="64"/>
      <c r="K969" s="424"/>
      <c r="L969" s="64"/>
      <c r="M969" s="64"/>
      <c r="N969" s="510"/>
      <c r="O969" s="64"/>
      <c r="P969" s="64"/>
      <c r="Q969" s="64"/>
      <c r="R969" s="64"/>
      <c r="S969" s="64"/>
      <c r="T969" s="516"/>
      <c r="U969" s="64"/>
      <c r="V969" s="64"/>
    </row>
    <row r="970" spans="1:22" ht="12.75">
      <c r="A970" s="64"/>
      <c r="B970" s="64"/>
      <c r="C970" s="423"/>
      <c r="D970" s="64"/>
      <c r="E970" s="423"/>
      <c r="F970" s="64"/>
      <c r="G970" s="64"/>
      <c r="H970" s="419"/>
      <c r="I970" s="64"/>
      <c r="J970" s="64"/>
      <c r="K970" s="424"/>
      <c r="L970" s="64"/>
      <c r="M970" s="64"/>
      <c r="N970" s="510"/>
      <c r="O970" s="64"/>
      <c r="P970" s="64"/>
      <c r="Q970" s="64"/>
      <c r="R970" s="64"/>
      <c r="S970" s="64"/>
      <c r="T970" s="516"/>
      <c r="U970" s="64"/>
      <c r="V970" s="64"/>
    </row>
    <row r="971" spans="1:22" ht="12.75">
      <c r="A971" s="64"/>
      <c r="B971" s="64"/>
      <c r="C971" s="423"/>
      <c r="D971" s="64"/>
      <c r="E971" s="423"/>
      <c r="F971" s="64"/>
      <c r="G971" s="64"/>
      <c r="H971" s="419"/>
      <c r="I971" s="64"/>
      <c r="J971" s="64"/>
      <c r="K971" s="64"/>
      <c r="L971" s="64"/>
      <c r="M971" s="64"/>
      <c r="N971" s="510"/>
      <c r="O971" s="64"/>
      <c r="P971" s="64"/>
      <c r="Q971" s="64"/>
      <c r="R971" s="64"/>
      <c r="S971" s="64"/>
      <c r="T971" s="516"/>
      <c r="U971" s="64"/>
      <c r="V971" s="64"/>
    </row>
  </sheetData>
  <sheetProtection/>
  <mergeCells count="26">
    <mergeCell ref="Q2:T2"/>
    <mergeCell ref="Q3:T3"/>
    <mergeCell ref="L2:N2"/>
    <mergeCell ref="B513:C513"/>
    <mergeCell ref="B678:C678"/>
    <mergeCell ref="B7:C7"/>
    <mergeCell ref="B290:C290"/>
    <mergeCell ref="B68:C68"/>
    <mergeCell ref="B132:C132"/>
    <mergeCell ref="B133:B135"/>
    <mergeCell ref="B319:C319"/>
    <mergeCell ref="B475:C475"/>
    <mergeCell ref="B491:C491"/>
    <mergeCell ref="C1:K1"/>
    <mergeCell ref="G2:I2"/>
    <mergeCell ref="F213:G213"/>
    <mergeCell ref="L3:N3"/>
    <mergeCell ref="L4:N4"/>
    <mergeCell ref="O5:V5"/>
    <mergeCell ref="I5:N5"/>
    <mergeCell ref="B254:C254"/>
    <mergeCell ref="B138:B140"/>
    <mergeCell ref="D5:H5"/>
    <mergeCell ref="B213:C213"/>
    <mergeCell ref="D213:E213"/>
    <mergeCell ref="O4:T4"/>
  </mergeCells>
  <printOptions horizontalCentered="1"/>
  <pageMargins left="0.2" right="0.21" top="0.57" bottom="0.56" header="0.17" footer="0.17"/>
  <pageSetup horizontalDpi="600" verticalDpi="600" orientation="landscape" scale="93" r:id="rId3"/>
  <headerFooter alignWithMargins="0">
    <oddFooter>&amp;CPage &amp;P of &amp;N</oddFooter>
  </headerFooter>
  <rowBreaks count="34" manualBreakCount="34">
    <brk id="38" max="21" man="1"/>
    <brk id="67" max="21" man="1"/>
    <brk id="93" max="21" man="1"/>
    <brk id="125" max="21" man="1"/>
    <brk id="155" max="21" man="1"/>
    <brk id="186" max="21" man="1"/>
    <brk id="212" max="21" man="1"/>
    <brk id="240" max="21" man="1"/>
    <brk id="272" max="21" man="1"/>
    <brk id="298" max="21" man="1"/>
    <brk id="326" max="21" man="1"/>
    <brk id="357" max="21" man="1"/>
    <brk id="385" max="21" man="1"/>
    <brk id="412" max="21" man="1"/>
    <brk id="443" max="21" man="1"/>
    <brk id="474" max="21" man="1"/>
    <brk id="506" max="21" man="1"/>
    <brk id="537" max="21" man="1"/>
    <brk id="569" max="21" man="1"/>
    <brk id="600" max="21" man="1"/>
    <brk id="631" max="21" man="1"/>
    <brk id="662" max="21" man="1"/>
    <brk id="677" max="21" man="1"/>
    <brk id="694" max="21" man="1"/>
    <brk id="711" max="21" man="1"/>
    <brk id="728" max="21" man="1"/>
    <brk id="744" max="21" man="1"/>
    <brk id="759" max="21" man="1"/>
    <brk id="781" max="21" man="1"/>
    <brk id="810" max="21" man="1"/>
    <brk id="830" max="21" man="1"/>
    <brk id="860" max="21" man="1"/>
    <brk id="887" max="21" man="1"/>
    <brk id="918" max="21" man="1"/>
  </rowBreaks>
  <ignoredErrors>
    <ignoredError sqref="L504 H155 L157" formula="1"/>
  </ignoredErrors>
  <legacyDrawing r:id="rId2"/>
</worksheet>
</file>

<file path=xl/worksheets/sheet9.xml><?xml version="1.0" encoding="utf-8"?>
<worksheet xmlns="http://schemas.openxmlformats.org/spreadsheetml/2006/main" xmlns:r="http://schemas.openxmlformats.org/officeDocument/2006/relationships">
  <dimension ref="A3:I23"/>
  <sheetViews>
    <sheetView view="pageBreakPreview" zoomScaleSheetLayoutView="100" zoomScalePageLayoutView="0" workbookViewId="0" topLeftCell="A1">
      <selection activeCell="E16" sqref="E16"/>
    </sheetView>
  </sheetViews>
  <sheetFormatPr defaultColWidth="9.140625" defaultRowHeight="12.75"/>
  <cols>
    <col min="8" max="8" width="19.00390625" style="58" customWidth="1"/>
  </cols>
  <sheetData>
    <row r="3" spans="1:9" ht="23.25">
      <c r="A3" s="1336" t="s">
        <v>203</v>
      </c>
      <c r="B3" s="1336"/>
      <c r="C3" s="1336"/>
      <c r="D3" s="1336"/>
      <c r="E3" s="1336"/>
      <c r="F3" s="1336"/>
      <c r="G3" s="1336"/>
      <c r="H3" s="1336"/>
      <c r="I3" s="1336"/>
    </row>
    <row r="4" spans="1:5" ht="23.25">
      <c r="A4" s="250"/>
      <c r="B4" s="250"/>
      <c r="C4" s="250"/>
      <c r="D4" s="250"/>
      <c r="E4" s="250"/>
    </row>
    <row r="5" spans="1:9" ht="15.75">
      <c r="A5" s="124" t="s">
        <v>204</v>
      </c>
      <c r="B5" s="102" t="s">
        <v>2065</v>
      </c>
      <c r="C5" s="102"/>
      <c r="D5" s="102"/>
      <c r="E5" s="102"/>
      <c r="F5" s="251"/>
      <c r="G5" s="278" t="s">
        <v>22</v>
      </c>
      <c r="H5" s="281">
        <f>'Commercial Block'!D39</f>
        <v>29366028.089798573</v>
      </c>
      <c r="I5" s="251"/>
    </row>
    <row r="6" spans="1:9" ht="15.75">
      <c r="A6" s="124"/>
      <c r="B6" s="102"/>
      <c r="C6" s="102"/>
      <c r="D6" s="102"/>
      <c r="E6" s="102"/>
      <c r="F6" s="251"/>
      <c r="G6" s="279"/>
      <c r="H6" s="282"/>
      <c r="I6" s="251"/>
    </row>
    <row r="7" spans="1:9" ht="15.75">
      <c r="A7" s="124" t="s">
        <v>2061</v>
      </c>
      <c r="B7" s="102" t="s">
        <v>2066</v>
      </c>
      <c r="C7" s="102"/>
      <c r="D7" s="102"/>
      <c r="E7" s="102"/>
      <c r="F7" s="251"/>
      <c r="G7" s="279" t="s">
        <v>2148</v>
      </c>
      <c r="H7" s="281">
        <f>'Residential Block'!D39</f>
        <v>18326626.04186266</v>
      </c>
      <c r="I7" s="251"/>
    </row>
    <row r="8" spans="2:9" ht="15.75">
      <c r="B8" s="102"/>
      <c r="C8" s="102"/>
      <c r="D8" s="102"/>
      <c r="E8" s="102"/>
      <c r="F8" s="251"/>
      <c r="G8" s="279"/>
      <c r="H8" s="282"/>
      <c r="I8" s="251"/>
    </row>
    <row r="9" spans="1:9" ht="15.75">
      <c r="A9" s="124" t="s">
        <v>2062</v>
      </c>
      <c r="B9" s="102" t="s">
        <v>21</v>
      </c>
      <c r="C9" s="102"/>
      <c r="D9" s="102"/>
      <c r="E9" s="102"/>
      <c r="F9" s="251"/>
      <c r="G9" s="279" t="s">
        <v>2148</v>
      </c>
      <c r="H9" s="281">
        <f>'Trans &amp;gener. House'!D28</f>
        <v>574786.2364162634</v>
      </c>
      <c r="I9" s="251"/>
    </row>
    <row r="10" spans="1:9" ht="15.75">
      <c r="A10" s="124"/>
      <c r="B10" s="102"/>
      <c r="C10" s="102"/>
      <c r="D10" s="102"/>
      <c r="E10" s="102"/>
      <c r="F10" s="251"/>
      <c r="G10" s="279"/>
      <c r="H10" s="282"/>
      <c r="I10" s="251"/>
    </row>
    <row r="11" spans="1:9" ht="15.75">
      <c r="A11" s="124" t="s">
        <v>2063</v>
      </c>
      <c r="B11" s="102" t="s">
        <v>2975</v>
      </c>
      <c r="C11" s="102"/>
      <c r="D11" s="102"/>
      <c r="E11" s="102"/>
      <c r="F11" s="251"/>
      <c r="G11" s="279" t="s">
        <v>2148</v>
      </c>
      <c r="H11" s="281">
        <f>'Site Work'!D18</f>
        <v>1943268.9592292428</v>
      </c>
      <c r="I11" s="251"/>
    </row>
    <row r="12" spans="1:9" ht="15.75">
      <c r="A12" s="124"/>
      <c r="B12" s="102"/>
      <c r="C12" s="102"/>
      <c r="D12" s="102"/>
      <c r="E12" s="102"/>
      <c r="F12" s="251"/>
      <c r="G12" s="279"/>
      <c r="H12" s="281"/>
      <c r="I12" s="251"/>
    </row>
    <row r="13" spans="1:9" ht="15.75">
      <c r="A13" s="124" t="s">
        <v>2064</v>
      </c>
      <c r="B13" s="102" t="s">
        <v>152</v>
      </c>
      <c r="C13" s="102"/>
      <c r="D13" s="102"/>
      <c r="E13" s="102"/>
      <c r="F13" s="251"/>
      <c r="G13" s="279" t="s">
        <v>2148</v>
      </c>
      <c r="H13" s="281">
        <f>'Connection Block'!D39</f>
        <v>11941283.737676727</v>
      </c>
      <c r="I13" s="251"/>
    </row>
    <row r="14" spans="1:7" ht="17.25" customHeight="1">
      <c r="A14" s="124"/>
      <c r="B14" s="250"/>
      <c r="C14" s="250"/>
      <c r="D14" s="250"/>
      <c r="E14" s="250"/>
      <c r="G14" s="163"/>
    </row>
    <row r="15" spans="4:8" s="252" customFormat="1" ht="23.25" customHeight="1" thickBot="1">
      <c r="D15" s="253" t="s">
        <v>151</v>
      </c>
      <c r="E15" s="253"/>
      <c r="G15" s="279" t="s">
        <v>2148</v>
      </c>
      <c r="H15" s="283">
        <f>SUM(H4:H14)</f>
        <v>62151993.06498347</v>
      </c>
    </row>
    <row r="16" ht="13.5" thickTop="1">
      <c r="G16" s="163"/>
    </row>
    <row r="17" spans="4:8" ht="16.5" thickBot="1">
      <c r="D17" s="253" t="s">
        <v>3170</v>
      </c>
      <c r="E17" s="253"/>
      <c r="F17" s="252"/>
      <c r="G17" s="279" t="s">
        <v>2148</v>
      </c>
      <c r="H17" s="283">
        <f>H15*0.15</f>
        <v>9322798.959747521</v>
      </c>
    </row>
    <row r="18" ht="13.5" thickTop="1">
      <c r="G18" s="163"/>
    </row>
    <row r="19" spans="4:8" ht="16.5" thickBot="1">
      <c r="D19" s="253" t="s">
        <v>3171</v>
      </c>
      <c r="E19" s="253"/>
      <c r="F19" s="252"/>
      <c r="G19" s="279" t="s">
        <v>2148</v>
      </c>
      <c r="H19" s="283">
        <f>SUM(H15:H17)</f>
        <v>71474792.024731</v>
      </c>
    </row>
    <row r="20" ht="13.5" thickTop="1">
      <c r="G20" s="163"/>
    </row>
    <row r="21" spans="4:8" ht="16.5" thickBot="1">
      <c r="D21" s="253" t="s">
        <v>3172</v>
      </c>
      <c r="E21" s="253"/>
      <c r="F21" s="252"/>
      <c r="G21" s="279" t="s">
        <v>2148</v>
      </c>
      <c r="H21" s="283">
        <f>H19*0.1</f>
        <v>7147479.2024731</v>
      </c>
    </row>
    <row r="22" ht="13.5" thickTop="1">
      <c r="G22" s="163"/>
    </row>
    <row r="23" spans="4:8" ht="16.5" thickBot="1">
      <c r="D23" s="253" t="s">
        <v>3173</v>
      </c>
      <c r="E23" s="253"/>
      <c r="F23" s="252"/>
      <c r="G23" s="279" t="s">
        <v>2148</v>
      </c>
      <c r="H23" s="283">
        <f>SUM(H18:H21)</f>
        <v>78622271.2272041</v>
      </c>
    </row>
    <row r="24" ht="13.5" thickTop="1"/>
  </sheetData>
  <sheetProtection/>
  <mergeCells count="1">
    <mergeCell ref="A3:I3"/>
  </mergeCells>
  <printOptions/>
  <pageMargins left="0.75" right="0.75" top="1.04" bottom="1" header="0.5" footer="0.5"/>
  <pageSetup firstPageNumber="38" useFirstPageNumber="1" horizontalDpi="600" verticalDpi="600" orientation="portrait" scale="98" r:id="rId1"/>
  <headerFooter alignWithMargins="0">
    <oddHeader>&amp;R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Gizachew</cp:lastModifiedBy>
  <cp:lastPrinted>2011-10-13T08:52:08Z</cp:lastPrinted>
  <dcterms:created xsi:type="dcterms:W3CDTF">1996-10-14T23:33:28Z</dcterms:created>
  <dcterms:modified xsi:type="dcterms:W3CDTF">2014-09-06T13:33:06Z</dcterms:modified>
  <cp:category/>
  <cp:version/>
  <cp:contentType/>
  <cp:contentStatus/>
</cp:coreProperties>
</file>