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tep Backwater Calculation" sheetId="1" r:id="rId1"/>
    <sheet name="WS Profile Plot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Michael Borchers</author>
  </authors>
  <commentList>
    <comment ref="A15" authorId="0">
      <text>
        <r>
          <rPr>
            <sz val="8"/>
            <rFont val="Tahoma"/>
            <family val="0"/>
          </rPr>
          <t>Use composite roughness coefficient value comparable to type of channel observed</t>
        </r>
      </text>
    </comment>
  </commentList>
</comments>
</file>

<file path=xl/sharedStrings.xml><?xml version="1.0" encoding="utf-8"?>
<sst xmlns="http://schemas.openxmlformats.org/spreadsheetml/2006/main" count="102" uniqueCount="80">
  <si>
    <t>Direct Step Method</t>
  </si>
  <si>
    <t>Trial and Error</t>
  </si>
  <si>
    <t>y</t>
  </si>
  <si>
    <t>A</t>
  </si>
  <si>
    <t>R</t>
  </si>
  <si>
    <t>V</t>
  </si>
  <si>
    <t>Delta E</t>
  </si>
  <si>
    <t>delta x</t>
  </si>
  <si>
    <t>x</t>
  </si>
  <si>
    <t>…..</t>
  </si>
  <si>
    <t>y (trial)</t>
  </si>
  <si>
    <t>Remarks</t>
  </si>
  <si>
    <t>y too small</t>
  </si>
  <si>
    <t>Q</t>
  </si>
  <si>
    <r>
      <t>Q = 1.486/n x AR</t>
    </r>
    <r>
      <rPr>
        <vertAlign val="superscript"/>
        <sz val="10"/>
        <rFont val="Arial"/>
        <family val="2"/>
      </rPr>
      <t xml:space="preserve">2/3 </t>
    </r>
    <r>
      <rPr>
        <sz val="10"/>
        <rFont val="Arial"/>
        <family val="2"/>
      </rPr>
      <t>x S</t>
    </r>
    <r>
      <rPr>
        <vertAlign val="superscript"/>
        <sz val="10"/>
        <rFont val="Arial"/>
        <family val="2"/>
      </rPr>
      <t>0.5</t>
    </r>
  </si>
  <si>
    <r>
      <t>Q x n/ 1.486 x S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= </t>
    </r>
  </si>
  <si>
    <r>
      <t>R</t>
    </r>
    <r>
      <rPr>
        <vertAlign val="superscript"/>
        <sz val="10"/>
        <rFont val="Arial"/>
        <family val="2"/>
      </rPr>
      <t>4/3</t>
    </r>
  </si>
  <si>
    <r>
      <t xml:space="preserve">  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/2g</t>
    </r>
  </si>
  <si>
    <r>
      <t>y +    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/2g</t>
    </r>
  </si>
  <si>
    <r>
      <t>S</t>
    </r>
    <r>
      <rPr>
        <vertAlign val="subscript"/>
        <sz val="10"/>
        <rFont val="Arial"/>
        <family val="2"/>
      </rPr>
      <t>f</t>
    </r>
  </si>
  <si>
    <r>
      <t>Avg S</t>
    </r>
    <r>
      <rPr>
        <vertAlign val="subscript"/>
        <sz val="10"/>
        <rFont val="Arial"/>
        <family val="2"/>
      </rPr>
      <t>f</t>
    </r>
  </si>
  <si>
    <r>
      <t>R</t>
    </r>
    <r>
      <rPr>
        <vertAlign val="superscript"/>
        <sz val="10"/>
        <rFont val="Arial"/>
        <family val="2"/>
      </rPr>
      <t>2/3</t>
    </r>
  </si>
  <si>
    <r>
      <t>AR</t>
    </r>
    <r>
      <rPr>
        <vertAlign val="superscript"/>
        <sz val="10"/>
        <rFont val="Arial"/>
        <family val="2"/>
      </rPr>
      <t>2/3</t>
    </r>
  </si>
  <si>
    <r>
      <t>Q / g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= A x D</t>
    </r>
    <r>
      <rPr>
        <vertAlign val="superscript"/>
        <sz val="10"/>
        <rFont val="Arial"/>
        <family val="2"/>
      </rPr>
      <t>0.5</t>
    </r>
  </si>
  <si>
    <r>
      <t>D</t>
    </r>
    <r>
      <rPr>
        <vertAlign val="superscript"/>
        <sz val="10"/>
        <rFont val="Arial"/>
        <family val="2"/>
      </rPr>
      <t>0.5</t>
    </r>
  </si>
  <si>
    <t xml:space="preserve">B = </t>
  </si>
  <si>
    <t>(ft H / ft V)</t>
  </si>
  <si>
    <t>ft</t>
  </si>
  <si>
    <t xml:space="preserve"> </t>
  </si>
  <si>
    <r>
      <t>Q = g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x A x D</t>
    </r>
    <r>
      <rPr>
        <vertAlign val="superscript"/>
        <sz val="10"/>
        <rFont val="Arial"/>
        <family val="2"/>
      </rPr>
      <t>0.5</t>
    </r>
  </si>
  <si>
    <r>
      <t>AR</t>
    </r>
    <r>
      <rPr>
        <vertAlign val="superscript"/>
        <sz val="10"/>
        <rFont val="Arial"/>
        <family val="2"/>
      </rPr>
      <t>2/3</t>
    </r>
    <r>
      <rPr>
        <sz val="10"/>
        <rFont val="Arial"/>
        <family val="2"/>
      </rPr>
      <t xml:space="preserve"> = </t>
    </r>
  </si>
  <si>
    <r>
      <t>Solution for Normal Depth (y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</si>
  <si>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Solution for Critical Depth (y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</si>
  <si>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t>Q =</t>
  </si>
  <si>
    <t>cfs</t>
  </si>
  <si>
    <t>n =</t>
  </si>
  <si>
    <t>ft/ft</t>
  </si>
  <si>
    <t xml:space="preserve">    =</t>
  </si>
  <si>
    <r>
      <t>S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</si>
  <si>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 </t>
    </r>
  </si>
  <si>
    <r>
      <t>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</si>
  <si>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S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</si>
  <si>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S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</si>
  <si>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O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</si>
  <si>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</si>
  <si>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S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</si>
  <si>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S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</si>
  <si>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t>Channel Geometry Inputs</t>
  </si>
  <si>
    <t>Water Surface Elevation</t>
  </si>
  <si>
    <t>Channel Bottom Elevation</t>
  </si>
  <si>
    <t>P</t>
  </si>
  <si>
    <r>
      <t>y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 </t>
    </r>
  </si>
  <si>
    <r>
      <t>Computed Area (A)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</si>
  <si>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Computed Wetted Perimeter (P) (ft)</t>
  </si>
  <si>
    <t>Hydraulic Mean Radius (R) (ft)</t>
  </si>
  <si>
    <t>y matches</t>
  </si>
  <si>
    <t>y too large</t>
  </si>
  <si>
    <r>
      <t>g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x A x D</t>
    </r>
    <r>
      <rPr>
        <vertAlign val="superscript"/>
        <sz val="10"/>
        <rFont val="Arial"/>
        <family val="2"/>
      </rPr>
      <t>0.5</t>
    </r>
  </si>
  <si>
    <t>Note: The formulas for area, wetted perimeter, and hydraulic mean radius listed above are applicable for a range of values of "y" up to the maximum depth</t>
  </si>
  <si>
    <r>
      <t>Note: Carry out backwater analysis until y is equal to 1.01 times y</t>
    </r>
    <r>
      <rPr>
        <b/>
        <vertAlign val="subscript"/>
        <sz val="10"/>
        <rFont val="Arial"/>
        <family val="2"/>
      </rPr>
      <t>n</t>
    </r>
  </si>
  <si>
    <t>NDL Elevation</t>
  </si>
  <si>
    <t>Background Information and Analysis Tool Usage</t>
  </si>
  <si>
    <r>
      <t>y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 </t>
    </r>
  </si>
  <si>
    <r>
      <t>y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</si>
  <si>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t xml:space="preserve">This spreadsheet provides an approximate method for calculating the backwater profile for a new or modified culvert to in order to confirm whether or not the tail water normal depth of the upstream culvert is impacted. </t>
  </si>
  <si>
    <t>Cells highlighted in yellow represent the independent variables required to be input by the user in order to complete the computations.</t>
  </si>
  <si>
    <r>
      <t>Q represents the design-basis storm flood flow (such as a 10 year flow) and Hw = 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represents the head water depth just upstream of the proposed culvert.</t>
    </r>
  </si>
  <si>
    <t xml:space="preserve">An appropriate composite value for Manning's roughness coefficient (n) should be selected for the channel in question. </t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</si>
  <si>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represents the longitudinal slope of the channel bottom</t>
    </r>
  </si>
  <si>
    <t>Alpha represents the kinetic energy correction factor for the flow in the channel. A typical and reasonable value to assume (if not computed) is 1.1</t>
  </si>
  <si>
    <r>
      <t>Hw = y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</si>
  <si>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r>
      <t>For y &lt; D</t>
    </r>
    <r>
      <rPr>
        <b/>
        <vertAlign val="subscript"/>
        <sz val="10"/>
        <rFont val="Arial"/>
        <family val="0"/>
      </rPr>
      <t>1</t>
    </r>
  </si>
  <si>
    <r>
      <t>For y (= y</t>
    </r>
    <r>
      <rPr>
        <b/>
        <vertAlign val="subscript"/>
        <sz val="10"/>
        <rFont val="Arial"/>
        <family val="0"/>
      </rPr>
      <t>d</t>
    </r>
    <r>
      <rPr>
        <b/>
        <sz val="10"/>
        <rFont val="Arial"/>
        <family val="0"/>
      </rPr>
      <t>) ≥ D</t>
    </r>
    <r>
      <rPr>
        <b/>
        <vertAlign val="subscript"/>
        <sz val="10"/>
        <rFont val="Arial"/>
        <family val="0"/>
      </rPr>
      <t>2</t>
    </r>
  </si>
  <si>
    <r>
      <t>For backwater surface profile analysis, the limiting depth y = 1.01 x 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4.67 ft.</t>
    </r>
  </si>
  <si>
    <r>
      <t>S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- Avg S</t>
    </r>
    <r>
      <rPr>
        <vertAlign val="subscript"/>
        <sz val="10"/>
        <rFont val="Arial"/>
        <family val="0"/>
      </rPr>
      <t>f</t>
    </r>
  </si>
  <si>
    <r>
      <t>The example analysis shown below is for a proposed culvert with a 10 year flow of 450 cfs located 500 ft. downstream of an existing tailwater controlled culvert. The head water depth (H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 has been determined elsewhere to be 7.0 ft.</t>
    </r>
  </si>
  <si>
    <r>
      <t>For D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£</t>
    </r>
    <r>
      <rPr>
        <b/>
        <sz val="10"/>
        <rFont val="Arial"/>
        <family val="0"/>
      </rPr>
      <t xml:space="preserve"> y &lt; D</t>
    </r>
    <r>
      <rPr>
        <b/>
        <vertAlign val="subscript"/>
        <sz val="10"/>
        <rFont val="Arial"/>
        <family val="0"/>
      </rPr>
      <t>2</t>
    </r>
  </si>
  <si>
    <r>
      <t>Conclusion</t>
    </r>
    <r>
      <rPr>
        <sz val="10"/>
        <color indexed="10"/>
        <rFont val="Arial"/>
        <family val="2"/>
      </rPr>
      <t>: In the above example analysis, the backwater up to the limiting depth of y = 1.01 x y</t>
    </r>
    <r>
      <rPr>
        <vertAlign val="subscript"/>
        <sz val="10"/>
        <color indexed="10"/>
        <rFont val="Arial"/>
        <family val="2"/>
      </rPr>
      <t xml:space="preserve">n </t>
    </r>
    <r>
      <rPr>
        <sz val="10"/>
        <color indexed="10"/>
        <rFont val="Arial"/>
        <family val="2"/>
      </rPr>
      <t>= 4.67 ft. is extending upstream a distance x = 424 ft. and is not impacting the tailwater level of upstream culvert located at x = 500ft.</t>
    </r>
  </si>
  <si>
    <t xml:space="preserve">ft (starting water depth upstream of proposed culvert measured from stream bottom) </t>
  </si>
  <si>
    <t>Step Back Water Calculation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</si>
</sst>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00"/>
    <numFmt numFmtId="167" formatCode="0.0000000000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"/>
    <numFmt numFmtId="175" formatCode="[$-409]dddd\,\ mmmm\ dd\,\ yyyy"/>
    <numFmt numFmtId="176" formatCode="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E+00"/>
    <numFmt numFmtId="182" formatCode="0.000E+00"/>
    <numFmt numFmtId="183" formatCode="0.0E+00"/>
    <numFmt numFmtId="184" formatCode="0.00000E+00"/>
    <numFmt numFmtId="185" formatCode="0.000000E+00"/>
    <numFmt numFmtId="186" formatCode="0.0000000E+00"/>
    <numFmt numFmtId="187" formatCode="0.00000000E+00"/>
  </numFmts>
  <fonts count="19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0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0" fillId="2" borderId="0" xfId="0" applyNumberFormat="1" applyFill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>
      <alignment wrapText="1"/>
    </xf>
    <xf numFmtId="165" fontId="0" fillId="0" borderId="0" xfId="0" applyNumberFormat="1" applyFill="1" applyAlignment="1">
      <alignment/>
    </xf>
    <xf numFmtId="164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Water Surface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Water Surface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'Step Backwater Calculation'!$P$34:$P$46</c:f>
              <c:numCache>
                <c:ptCount val="13"/>
                <c:pt idx="0">
                  <c:v>0</c:v>
                </c:pt>
                <c:pt idx="1">
                  <c:v>56.167530910961055</c:v>
                </c:pt>
                <c:pt idx="2">
                  <c:v>116.03841714888117</c:v>
                </c:pt>
                <c:pt idx="3">
                  <c:v>141.66087038136567</c:v>
                </c:pt>
                <c:pt idx="4">
                  <c:v>168.91125907372808</c:v>
                </c:pt>
                <c:pt idx="5">
                  <c:v>198.6144974054769</c:v>
                </c:pt>
                <c:pt idx="6">
                  <c:v>232.3464684346517</c:v>
                </c:pt>
                <c:pt idx="7">
                  <c:v>273.7142571309546</c:v>
                </c:pt>
                <c:pt idx="8">
                  <c:v>300.1679373989278</c:v>
                </c:pt>
                <c:pt idx="9">
                  <c:v>335.0018595463527</c:v>
                </c:pt>
                <c:pt idx="10">
                  <c:v>391.6542883389774</c:v>
                </c:pt>
                <c:pt idx="11">
                  <c:v>423.6633750405028</c:v>
                </c:pt>
                <c:pt idx="12">
                  <c:v>550.2524471274576</c:v>
                </c:pt>
              </c:numCache>
            </c:numRef>
          </c:xVal>
          <c:yVal>
            <c:numRef>
              <c:f>'Step Backwater Calculation'!$B$34:$B$46</c:f>
              <c:numCache>
                <c:ptCount val="13"/>
                <c:pt idx="0">
                  <c:v>700</c:v>
                </c:pt>
                <c:pt idx="1">
                  <c:v>700.0616753091097</c:v>
                </c:pt>
                <c:pt idx="2">
                  <c:v>700.1603841714888</c:v>
                </c:pt>
                <c:pt idx="3">
                  <c:v>700.2166087038136</c:v>
                </c:pt>
                <c:pt idx="4">
                  <c:v>700.2891125907373</c:v>
                </c:pt>
                <c:pt idx="5">
                  <c:v>700.3861449740548</c:v>
                </c:pt>
                <c:pt idx="6">
                  <c:v>700.5234646843465</c:v>
                </c:pt>
                <c:pt idx="7">
                  <c:v>700.7371425713095</c:v>
                </c:pt>
                <c:pt idx="8">
                  <c:v>700.9016793739893</c:v>
                </c:pt>
                <c:pt idx="9">
                  <c:v>701.1500185954635</c:v>
                </c:pt>
                <c:pt idx="10">
                  <c:v>701.6165428833898</c:v>
                </c:pt>
                <c:pt idx="11">
                  <c:v>701.906633750405</c:v>
                </c:pt>
                <c:pt idx="12">
                  <c:v>703.1255244712746</c:v>
                </c:pt>
              </c:numCache>
            </c:numRef>
          </c:yVal>
          <c:smooth val="1"/>
        </c:ser>
        <c:ser>
          <c:idx val="1"/>
          <c:order val="1"/>
          <c:tx>
            <c:v>Normal Depth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'Step Backwater Calculation'!$P$34:$P$46</c:f>
              <c:numCache>
                <c:ptCount val="13"/>
                <c:pt idx="0">
                  <c:v>0</c:v>
                </c:pt>
                <c:pt idx="1">
                  <c:v>56.167530910961055</c:v>
                </c:pt>
                <c:pt idx="2">
                  <c:v>116.03841714888117</c:v>
                </c:pt>
                <c:pt idx="3">
                  <c:v>141.66087038136567</c:v>
                </c:pt>
                <c:pt idx="4">
                  <c:v>168.91125907372808</c:v>
                </c:pt>
                <c:pt idx="5">
                  <c:v>198.6144974054769</c:v>
                </c:pt>
                <c:pt idx="6">
                  <c:v>232.3464684346517</c:v>
                </c:pt>
                <c:pt idx="7">
                  <c:v>273.7142571309546</c:v>
                </c:pt>
                <c:pt idx="8">
                  <c:v>300.1679373989278</c:v>
                </c:pt>
                <c:pt idx="9">
                  <c:v>335.0018595463527</c:v>
                </c:pt>
                <c:pt idx="10">
                  <c:v>391.6542883389774</c:v>
                </c:pt>
                <c:pt idx="11">
                  <c:v>423.6633750405028</c:v>
                </c:pt>
                <c:pt idx="12">
                  <c:v>550.2524471274576</c:v>
                </c:pt>
              </c:numCache>
            </c:numRef>
          </c:xVal>
          <c:yVal>
            <c:numRef>
              <c:f>'Step Backwater Calculation'!$Q$34:$Q$46</c:f>
              <c:numCache>
                <c:ptCount val="13"/>
                <c:pt idx="0">
                  <c:v>697.623</c:v>
                </c:pt>
                <c:pt idx="1">
                  <c:v>698.1846753091097</c:v>
                </c:pt>
                <c:pt idx="2">
                  <c:v>698.7833841714888</c:v>
                </c:pt>
                <c:pt idx="3">
                  <c:v>699.0396087038137</c:v>
                </c:pt>
                <c:pt idx="4">
                  <c:v>699.3121125907373</c:v>
                </c:pt>
                <c:pt idx="5">
                  <c:v>699.6091449740549</c:v>
                </c:pt>
                <c:pt idx="6">
                  <c:v>699.9464646843466</c:v>
                </c:pt>
                <c:pt idx="7">
                  <c:v>700.3601425713096</c:v>
                </c:pt>
                <c:pt idx="8">
                  <c:v>700.6246793739894</c:v>
                </c:pt>
                <c:pt idx="9">
                  <c:v>700.9730185954636</c:v>
                </c:pt>
                <c:pt idx="10">
                  <c:v>701.5395428833898</c:v>
                </c:pt>
                <c:pt idx="11">
                  <c:v>701.8596337504051</c:v>
                </c:pt>
                <c:pt idx="12">
                  <c:v>703.1255244712746</c:v>
                </c:pt>
              </c:numCache>
            </c:numRef>
          </c:yVal>
          <c:smooth val="1"/>
        </c:ser>
        <c:ser>
          <c:idx val="2"/>
          <c:order val="2"/>
          <c:tx>
            <c:v>Channel Bottom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'Step Backwater Calculation'!$P$34:$P$46</c:f>
              <c:numCache>
                <c:ptCount val="13"/>
                <c:pt idx="0">
                  <c:v>0</c:v>
                </c:pt>
                <c:pt idx="1">
                  <c:v>56.167530910961055</c:v>
                </c:pt>
                <c:pt idx="2">
                  <c:v>116.03841714888117</c:v>
                </c:pt>
                <c:pt idx="3">
                  <c:v>141.66087038136567</c:v>
                </c:pt>
                <c:pt idx="4">
                  <c:v>168.91125907372808</c:v>
                </c:pt>
                <c:pt idx="5">
                  <c:v>198.6144974054769</c:v>
                </c:pt>
                <c:pt idx="6">
                  <c:v>232.3464684346517</c:v>
                </c:pt>
                <c:pt idx="7">
                  <c:v>273.7142571309546</c:v>
                </c:pt>
                <c:pt idx="8">
                  <c:v>300.1679373989278</c:v>
                </c:pt>
                <c:pt idx="9">
                  <c:v>335.0018595463527</c:v>
                </c:pt>
                <c:pt idx="10">
                  <c:v>391.6542883389774</c:v>
                </c:pt>
                <c:pt idx="11">
                  <c:v>423.6633750405028</c:v>
                </c:pt>
                <c:pt idx="12">
                  <c:v>550.2524471274576</c:v>
                </c:pt>
              </c:numCache>
            </c:numRef>
          </c:xVal>
          <c:yVal>
            <c:numRef>
              <c:f>'Step Backwater Calculation'!$A$34:$A$46</c:f>
              <c:numCache>
                <c:ptCount val="13"/>
                <c:pt idx="0">
                  <c:v>693</c:v>
                </c:pt>
                <c:pt idx="1">
                  <c:v>693.5616753091097</c:v>
                </c:pt>
                <c:pt idx="2">
                  <c:v>694.1603841714888</c:v>
                </c:pt>
                <c:pt idx="3">
                  <c:v>694.4166087038136</c:v>
                </c:pt>
                <c:pt idx="4">
                  <c:v>694.6891125907373</c:v>
                </c:pt>
                <c:pt idx="5">
                  <c:v>694.9861449740548</c:v>
                </c:pt>
                <c:pt idx="6">
                  <c:v>695.3234646843465</c:v>
                </c:pt>
                <c:pt idx="7">
                  <c:v>695.7371425713095</c:v>
                </c:pt>
                <c:pt idx="8">
                  <c:v>696.0016793739893</c:v>
                </c:pt>
                <c:pt idx="9">
                  <c:v>696.3500185954636</c:v>
                </c:pt>
                <c:pt idx="10">
                  <c:v>696.9165428833898</c:v>
                </c:pt>
                <c:pt idx="11">
                  <c:v>697.2366337504051</c:v>
                </c:pt>
                <c:pt idx="12">
                  <c:v>698.5025244712746</c:v>
                </c:pt>
              </c:numCache>
            </c:numRef>
          </c:yVal>
          <c:smooth val="1"/>
        </c:ser>
        <c:axId val="51008016"/>
        <c:axId val="56418961"/>
      </c:scatterChart>
      <c:valAx>
        <c:axId val="510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Upstream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6418961"/>
        <c:crosses val="autoZero"/>
        <c:crossBetween val="midCat"/>
        <c:dispUnits/>
      </c:valAx>
      <c:valAx>
        <c:axId val="56418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1008016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180975</xdr:rowOff>
    </xdr:from>
    <xdr:to>
      <xdr:col>16</xdr:col>
      <xdr:colOff>209550</xdr:colOff>
      <xdr:row>24</xdr:row>
      <xdr:rowOff>161925</xdr:rowOff>
    </xdr:to>
    <xdr:grpSp>
      <xdr:nvGrpSpPr>
        <xdr:cNvPr id="1" name="Group 50"/>
        <xdr:cNvGrpSpPr>
          <a:grpSpLocks/>
        </xdr:cNvGrpSpPr>
      </xdr:nvGrpSpPr>
      <xdr:grpSpPr>
        <a:xfrm>
          <a:off x="4143375" y="2305050"/>
          <a:ext cx="8239125" cy="2305050"/>
          <a:chOff x="4" y="74"/>
          <a:chExt cx="739" cy="234"/>
        </a:xfrm>
        <a:solidFill>
          <a:srgbClr val="FFFFFF"/>
        </a:solidFill>
      </xdr:grpSpPr>
      <xdr:grpSp>
        <xdr:nvGrpSpPr>
          <xdr:cNvPr id="2" name="Group 51"/>
          <xdr:cNvGrpSpPr>
            <a:grpSpLocks/>
          </xdr:cNvGrpSpPr>
        </xdr:nvGrpSpPr>
        <xdr:grpSpPr>
          <a:xfrm>
            <a:off x="4" y="74"/>
            <a:ext cx="739" cy="154"/>
            <a:chOff x="87" y="68"/>
            <a:chExt cx="588" cy="154"/>
          </a:xfrm>
          <a:solidFill>
            <a:srgbClr val="FFFFFF"/>
          </a:solidFill>
        </xdr:grpSpPr>
        <xdr:sp>
          <xdr:nvSpPr>
            <xdr:cNvPr id="3" name="Line 52"/>
            <xdr:cNvSpPr>
              <a:spLocks/>
            </xdr:cNvSpPr>
          </xdr:nvSpPr>
          <xdr:spPr>
            <a:xfrm>
              <a:off x="87" y="70"/>
              <a:ext cx="106" cy="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53"/>
            <xdr:cNvSpPr>
              <a:spLocks/>
            </xdr:cNvSpPr>
          </xdr:nvSpPr>
          <xdr:spPr>
            <a:xfrm>
              <a:off x="192" y="154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4"/>
            <xdr:cNvSpPr>
              <a:spLocks/>
            </xdr:cNvSpPr>
          </xdr:nvSpPr>
          <xdr:spPr>
            <a:xfrm>
              <a:off x="293" y="154"/>
              <a:ext cx="27" cy="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5"/>
            <xdr:cNvSpPr>
              <a:spLocks/>
            </xdr:cNvSpPr>
          </xdr:nvSpPr>
          <xdr:spPr>
            <a:xfrm>
              <a:off x="320" y="222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6"/>
            <xdr:cNvSpPr>
              <a:spLocks/>
            </xdr:cNvSpPr>
          </xdr:nvSpPr>
          <xdr:spPr>
            <a:xfrm flipV="1">
              <a:off x="448" y="119"/>
              <a:ext cx="64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7"/>
            <xdr:cNvSpPr>
              <a:spLocks/>
            </xdr:cNvSpPr>
          </xdr:nvSpPr>
          <xdr:spPr>
            <a:xfrm>
              <a:off x="512" y="119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8"/>
            <xdr:cNvSpPr>
              <a:spLocks/>
            </xdr:cNvSpPr>
          </xdr:nvSpPr>
          <xdr:spPr>
            <a:xfrm flipV="1">
              <a:off x="612" y="68"/>
              <a:ext cx="63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AutoShape 59"/>
          <xdr:cNvSpPr>
            <a:spLocks/>
          </xdr:cNvSpPr>
        </xdr:nvSpPr>
        <xdr:spPr>
          <a:xfrm>
            <a:off x="137" y="262"/>
            <a:ext cx="128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0"/>
          <xdr:cNvSpPr>
            <a:spLocks/>
          </xdr:cNvSpPr>
        </xdr:nvSpPr>
        <xdr:spPr>
          <a:xfrm>
            <a:off x="137" y="244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1"/>
          <xdr:cNvSpPr>
            <a:spLocks/>
          </xdr:cNvSpPr>
        </xdr:nvSpPr>
        <xdr:spPr>
          <a:xfrm>
            <a:off x="264" y="246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62"/>
          <xdr:cNvSpPr txBox="1">
            <a:spLocks noChangeArrowheads="1"/>
          </xdr:cNvSpPr>
        </xdr:nvSpPr>
        <xdr:spPr>
          <a:xfrm>
            <a:off x="187" y="240"/>
            <a:ext cx="3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4" name="AutoShape 63"/>
          <xdr:cNvSpPr>
            <a:spLocks/>
          </xdr:cNvSpPr>
        </xdr:nvSpPr>
        <xdr:spPr>
          <a:xfrm>
            <a:off x="539" y="262"/>
            <a:ext cx="12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4"/>
          <xdr:cNvSpPr>
            <a:spLocks/>
          </xdr:cNvSpPr>
        </xdr:nvSpPr>
        <xdr:spPr>
          <a:xfrm>
            <a:off x="539" y="244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5"/>
          <xdr:cNvSpPr>
            <a:spLocks/>
          </xdr:cNvSpPr>
        </xdr:nvSpPr>
        <xdr:spPr>
          <a:xfrm>
            <a:off x="666" y="246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66"/>
          <xdr:cNvSpPr txBox="1">
            <a:spLocks noChangeArrowheads="1"/>
          </xdr:cNvSpPr>
        </xdr:nvSpPr>
        <xdr:spPr>
          <a:xfrm>
            <a:off x="590" y="240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8" name="Line 67"/>
          <xdr:cNvSpPr>
            <a:spLocks/>
          </xdr:cNvSpPr>
        </xdr:nvSpPr>
        <xdr:spPr>
          <a:xfrm>
            <a:off x="270" y="177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8"/>
          <xdr:cNvSpPr>
            <a:spLocks/>
          </xdr:cNvSpPr>
        </xdr:nvSpPr>
        <xdr:spPr>
          <a:xfrm flipH="1">
            <a:off x="111" y="143"/>
            <a:ext cx="4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9"/>
          <xdr:cNvSpPr>
            <a:spLocks/>
          </xdr:cNvSpPr>
        </xdr:nvSpPr>
        <xdr:spPr>
          <a:xfrm flipH="1">
            <a:off x="43" y="100"/>
            <a:ext cx="6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70"/>
          <xdr:cNvSpPr>
            <a:spLocks/>
          </xdr:cNvSpPr>
        </xdr:nvSpPr>
        <xdr:spPr>
          <a:xfrm>
            <a:off x="323" y="178"/>
            <a:ext cx="0" cy="5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71"/>
          <xdr:cNvSpPr txBox="1">
            <a:spLocks noChangeArrowheads="1"/>
          </xdr:cNvSpPr>
        </xdr:nvSpPr>
        <xdr:spPr>
          <a:xfrm>
            <a:off x="326" y="194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y</a:t>
            </a:r>
          </a:p>
        </xdr:txBody>
      </xdr:sp>
      <xdr:sp>
        <xdr:nvSpPr>
          <xdr:cNvPr id="23" name="TextBox 72"/>
          <xdr:cNvSpPr txBox="1">
            <a:spLocks noChangeArrowheads="1"/>
          </xdr:cNvSpPr>
        </xdr:nvSpPr>
        <xdr:spPr>
          <a:xfrm>
            <a:off x="382" y="186"/>
            <a:ext cx="3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y</a:t>
            </a:r>
          </a:p>
        </xdr:txBody>
      </xdr:sp>
      <xdr:sp>
        <xdr:nvSpPr>
          <xdr:cNvPr id="24" name="AutoShape 73"/>
          <xdr:cNvSpPr>
            <a:spLocks/>
          </xdr:cNvSpPr>
        </xdr:nvSpPr>
        <xdr:spPr>
          <a:xfrm>
            <a:off x="435" y="100"/>
            <a:ext cx="1" cy="13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74"/>
          <xdr:cNvSpPr>
            <a:spLocks/>
          </xdr:cNvSpPr>
        </xdr:nvSpPr>
        <xdr:spPr>
          <a:xfrm>
            <a:off x="380" y="144"/>
            <a:ext cx="1" cy="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Box 75"/>
          <xdr:cNvSpPr txBox="1">
            <a:spLocks noChangeArrowheads="1"/>
          </xdr:cNvSpPr>
        </xdr:nvSpPr>
        <xdr:spPr>
          <a:xfrm>
            <a:off x="436" y="147"/>
            <a:ext cx="3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y</a:t>
            </a:r>
          </a:p>
        </xdr:txBody>
      </xdr:sp>
      <xdr:sp>
        <xdr:nvSpPr>
          <xdr:cNvPr id="27" name="Line 76"/>
          <xdr:cNvSpPr>
            <a:spLocks/>
          </xdr:cNvSpPr>
        </xdr:nvSpPr>
        <xdr:spPr>
          <a:xfrm>
            <a:off x="179" y="22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7"/>
          <xdr:cNvSpPr>
            <a:spLocks/>
          </xdr:cNvSpPr>
        </xdr:nvSpPr>
        <xdr:spPr>
          <a:xfrm flipV="1">
            <a:off x="201" y="160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78"/>
          <xdr:cNvSpPr txBox="1">
            <a:spLocks noChangeArrowheads="1"/>
          </xdr:cNvSpPr>
        </xdr:nvSpPr>
        <xdr:spPr>
          <a:xfrm>
            <a:off x="208" y="182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0" name="TextBox 79"/>
          <xdr:cNvSpPr txBox="1">
            <a:spLocks noChangeArrowheads="1"/>
          </xdr:cNvSpPr>
        </xdr:nvSpPr>
        <xdr:spPr>
          <a:xfrm>
            <a:off x="257" y="194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1" name="TextBox 80"/>
          <xdr:cNvSpPr txBox="1">
            <a:spLocks noChangeArrowheads="1"/>
          </xdr:cNvSpPr>
        </xdr:nvSpPr>
        <xdr:spPr>
          <a:xfrm>
            <a:off x="489" y="194"/>
            <a:ext cx="3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2" name="Line 81"/>
          <xdr:cNvSpPr>
            <a:spLocks/>
          </xdr:cNvSpPr>
        </xdr:nvSpPr>
        <xdr:spPr>
          <a:xfrm>
            <a:off x="523" y="22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2"/>
          <xdr:cNvSpPr>
            <a:spLocks/>
          </xdr:cNvSpPr>
        </xdr:nvSpPr>
        <xdr:spPr>
          <a:xfrm flipV="1">
            <a:off x="546" y="12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83"/>
          <xdr:cNvSpPr txBox="1">
            <a:spLocks noChangeArrowheads="1"/>
          </xdr:cNvSpPr>
        </xdr:nvSpPr>
        <xdr:spPr>
          <a:xfrm>
            <a:off x="552" y="166"/>
            <a:ext cx="3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5" name="AutoShape 84"/>
          <xdr:cNvSpPr>
            <a:spLocks/>
          </xdr:cNvSpPr>
        </xdr:nvSpPr>
        <xdr:spPr>
          <a:xfrm>
            <a:off x="299" y="262"/>
            <a:ext cx="15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5"/>
          <xdr:cNvSpPr>
            <a:spLocks/>
          </xdr:cNvSpPr>
        </xdr:nvSpPr>
        <xdr:spPr>
          <a:xfrm>
            <a:off x="298" y="245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6"/>
          <xdr:cNvSpPr>
            <a:spLocks/>
          </xdr:cNvSpPr>
        </xdr:nvSpPr>
        <xdr:spPr>
          <a:xfrm>
            <a:off x="458" y="245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87"/>
          <xdr:cNvSpPr txBox="1">
            <a:spLocks noChangeArrowheads="1"/>
          </xdr:cNvSpPr>
        </xdr:nvSpPr>
        <xdr:spPr>
          <a:xfrm>
            <a:off x="363" y="242"/>
            <a:ext cx="3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39" name="AutoShape 88"/>
          <xdr:cNvSpPr>
            <a:spLocks/>
          </xdr:cNvSpPr>
        </xdr:nvSpPr>
        <xdr:spPr>
          <a:xfrm>
            <a:off x="459" y="262"/>
            <a:ext cx="8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Box 89"/>
          <xdr:cNvSpPr txBox="1">
            <a:spLocks noChangeArrowheads="1"/>
          </xdr:cNvSpPr>
        </xdr:nvSpPr>
        <xdr:spPr>
          <a:xfrm>
            <a:off x="475" y="240"/>
            <a:ext cx="4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41" name="TextBox 90"/>
          <xdr:cNvSpPr txBox="1">
            <a:spLocks noChangeArrowheads="1"/>
          </xdr:cNvSpPr>
        </xdr:nvSpPr>
        <xdr:spPr>
          <a:xfrm>
            <a:off x="263" y="282"/>
            <a:ext cx="4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2" name="AutoShape 91"/>
          <xdr:cNvSpPr>
            <a:spLocks/>
          </xdr:cNvSpPr>
        </xdr:nvSpPr>
        <xdr:spPr>
          <a:xfrm>
            <a:off x="264" y="262"/>
            <a:ext cx="3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92"/>
          <xdr:cNvSpPr txBox="1">
            <a:spLocks noChangeArrowheads="1"/>
          </xdr:cNvSpPr>
        </xdr:nvSpPr>
        <xdr:spPr>
          <a:xfrm>
            <a:off x="62" y="127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4" name="TextBox 93"/>
          <xdr:cNvSpPr txBox="1">
            <a:spLocks noChangeArrowheads="1"/>
          </xdr:cNvSpPr>
        </xdr:nvSpPr>
        <xdr:spPr>
          <a:xfrm>
            <a:off x="703" y="100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2.57421875" style="0" customWidth="1"/>
    <col min="2" max="2" width="10.8515625" style="0" customWidth="1"/>
    <col min="5" max="5" width="10.7109375" style="0" bestFit="1" customWidth="1"/>
    <col min="7" max="7" width="14.28125" style="0" bestFit="1" customWidth="1"/>
    <col min="8" max="8" width="10.7109375" style="0" customWidth="1"/>
    <col min="9" max="9" width="13.8515625" style="0" customWidth="1"/>
    <col min="10" max="10" width="11.8515625" style="0" customWidth="1"/>
    <col min="11" max="11" width="11.421875" style="0" bestFit="1" customWidth="1"/>
    <col min="12" max="12" width="13.421875" style="0" customWidth="1"/>
    <col min="13" max="13" width="10.421875" style="0" customWidth="1"/>
    <col min="14" max="14" width="13.140625" style="0" customWidth="1"/>
    <col min="15" max="15" width="12.7109375" style="0" customWidth="1"/>
    <col min="18" max="18" width="10.140625" style="0" customWidth="1"/>
    <col min="19" max="19" width="19.00390625" style="0" bestFit="1" customWidth="1"/>
    <col min="21" max="21" width="10.7109375" style="0" bestFit="1" customWidth="1"/>
    <col min="23" max="23" width="19.421875" style="0" bestFit="1" customWidth="1"/>
  </cols>
  <sheetData>
    <row r="1" spans="1:21" ht="33" customHeight="1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16" ht="10.5" customHeight="1">
      <c r="A2" s="3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8" ht="12.75">
      <c r="A3" s="5" t="s">
        <v>61</v>
      </c>
      <c r="H3" s="13"/>
    </row>
    <row r="4" ht="12.75">
      <c r="A4" s="33" t="s">
        <v>64</v>
      </c>
    </row>
    <row r="5" ht="12.75">
      <c r="A5" s="5" t="s">
        <v>65</v>
      </c>
    </row>
    <row r="6" ht="15.75">
      <c r="A6" s="34" t="s">
        <v>66</v>
      </c>
    </row>
    <row r="7" ht="12.75">
      <c r="A7" s="34" t="s">
        <v>67</v>
      </c>
    </row>
    <row r="8" spans="1:9" ht="15.75">
      <c r="A8" s="34" t="s">
        <v>68</v>
      </c>
      <c r="I8" s="13"/>
    </row>
    <row r="9" ht="12.75">
      <c r="A9" s="34" t="s">
        <v>69</v>
      </c>
    </row>
    <row r="10" ht="15.75">
      <c r="A10" s="34" t="s">
        <v>75</v>
      </c>
    </row>
    <row r="12" ht="18">
      <c r="A12" s="11" t="s">
        <v>0</v>
      </c>
    </row>
    <row r="14" spans="1:3" ht="12.75">
      <c r="A14" s="14" t="s">
        <v>33</v>
      </c>
      <c r="B14" s="4">
        <v>450</v>
      </c>
      <c r="C14" t="s">
        <v>34</v>
      </c>
    </row>
    <row r="15" spans="1:2" ht="12.75">
      <c r="A15" s="5" t="s">
        <v>35</v>
      </c>
      <c r="B15" s="4">
        <v>0.06</v>
      </c>
    </row>
    <row r="16" spans="1:3" ht="15.75">
      <c r="A16" s="5" t="s">
        <v>38</v>
      </c>
      <c r="B16" s="4">
        <v>0.01</v>
      </c>
      <c r="C16" t="s">
        <v>36</v>
      </c>
    </row>
    <row r="17" spans="1:2" ht="12.75">
      <c r="A17" s="5" t="s">
        <v>37</v>
      </c>
      <c r="B17" s="4">
        <v>1.1</v>
      </c>
    </row>
    <row r="18" spans="1:3" ht="15.75">
      <c r="A18" s="5" t="s">
        <v>70</v>
      </c>
      <c r="B18" s="10">
        <v>7</v>
      </c>
      <c r="C18" s="33" t="s">
        <v>78</v>
      </c>
    </row>
    <row r="19" spans="1:2" ht="12.75">
      <c r="A19" s="15"/>
      <c r="B19" s="13"/>
    </row>
    <row r="20" spans="9:10" ht="12.75">
      <c r="I20" s="5"/>
      <c r="J20" s="13"/>
    </row>
    <row r="21" spans="1:10" ht="12.75">
      <c r="A21" s="5" t="s">
        <v>47</v>
      </c>
      <c r="I21" s="5"/>
      <c r="J21" s="13"/>
    </row>
    <row r="22" spans="1:10" ht="15.75">
      <c r="A22" s="5" t="s">
        <v>51</v>
      </c>
      <c r="B22" s="10">
        <v>7</v>
      </c>
      <c r="C22" t="s">
        <v>27</v>
      </c>
      <c r="I22" s="5"/>
      <c r="J22" s="13"/>
    </row>
    <row r="23" spans="1:10" ht="12.75">
      <c r="A23" s="5" t="s">
        <v>25</v>
      </c>
      <c r="B23" s="4">
        <v>10</v>
      </c>
      <c r="C23" t="s">
        <v>27</v>
      </c>
      <c r="I23" s="5"/>
      <c r="J23" s="13"/>
    </row>
    <row r="24" spans="1:10" ht="15.75">
      <c r="A24" s="5" t="s">
        <v>39</v>
      </c>
      <c r="B24" s="4">
        <v>3</v>
      </c>
      <c r="C24" t="s">
        <v>27</v>
      </c>
      <c r="I24" s="5"/>
      <c r="J24" s="13"/>
    </row>
    <row r="25" spans="1:10" ht="15.75">
      <c r="A25" s="5" t="s">
        <v>40</v>
      </c>
      <c r="B25" s="4">
        <v>4</v>
      </c>
      <c r="C25" t="s">
        <v>27</v>
      </c>
      <c r="I25" s="5"/>
      <c r="J25" s="13"/>
    </row>
    <row r="26" spans="1:10" ht="51.75">
      <c r="A26" s="5" t="s">
        <v>41</v>
      </c>
      <c r="B26" s="4">
        <v>2</v>
      </c>
      <c r="C26" t="s">
        <v>26</v>
      </c>
      <c r="H26" s="16" t="s">
        <v>52</v>
      </c>
      <c r="I26" s="7" t="s">
        <v>53</v>
      </c>
      <c r="J26" s="16" t="s">
        <v>54</v>
      </c>
    </row>
    <row r="27" spans="1:12" ht="14.25">
      <c r="A27" s="5" t="s">
        <v>42</v>
      </c>
      <c r="B27" s="4">
        <v>2</v>
      </c>
      <c r="C27" t="s">
        <v>26</v>
      </c>
      <c r="G27" s="17" t="s">
        <v>71</v>
      </c>
      <c r="H27" s="8" t="str">
        <f>IF(B22&lt;B24,((B23*B22)+0.5*(B22*B26*B22)+0.5*(B22*B27*B22)),"out of range")</f>
        <v>out of range</v>
      </c>
      <c r="I27" s="9" t="str">
        <f>IF(B22&lt;B24,(B23+((B22^2+(B22*B26)^2)^0.5)+(B22^2+(B22*B27)^2)^0.5),"out of range")</f>
        <v>out of range</v>
      </c>
      <c r="J27" s="12" t="str">
        <f>IF(H27="out of range","out of range",H27/I27)</f>
        <v>out of range</v>
      </c>
      <c r="L27" t="s">
        <v>28</v>
      </c>
    </row>
    <row r="28" spans="1:10" ht="14.25">
      <c r="A28" s="5" t="s">
        <v>43</v>
      </c>
      <c r="B28" s="4">
        <v>5</v>
      </c>
      <c r="C28" t="s">
        <v>27</v>
      </c>
      <c r="G28" s="17" t="s">
        <v>76</v>
      </c>
      <c r="H28" s="6" t="str">
        <f>IF(AND(B22&gt;=B24,B22&lt;B25),((B23*B24)+0.5*(B24*B26*B24)+0.5*(B24*B24*B27))+((B28+(B24*B26)+B23+(B24*B27))*(B22-B24))+(0.5*(B22-B24)*(B30)*(B22-B24))+(0.5*(B22-B24)*B27*(B22-B24)),"out of range")</f>
        <v>out of range</v>
      </c>
      <c r="I28" s="9" t="str">
        <f>IF(AND(B22&gt;=B24,B22&lt;B25),(B23+(B24^2+(B24*B26)^2)^0.5+B28+((B22-B24)^2+((B22-B24)*B30)^2)^0.5+(B24^2+(B24*B27)^2)^0.5+((B22-B24)^2+((B22-B24)*B27)^2)^0.5),"out of range")</f>
        <v>out of range</v>
      </c>
      <c r="J28" s="12" t="str">
        <f>IF(H28="out of range","out of range",H28/I28)</f>
        <v>out of range</v>
      </c>
    </row>
    <row r="29" spans="1:10" ht="14.25">
      <c r="A29" s="5" t="s">
        <v>44</v>
      </c>
      <c r="B29" s="4">
        <v>6.5</v>
      </c>
      <c r="C29" t="s">
        <v>27</v>
      </c>
      <c r="G29" s="17" t="s">
        <v>72</v>
      </c>
      <c r="H29" s="6">
        <f>IF(B22&gt;=B25,((($B$23*$B$24)+0.5*($B$24*$B$26*$B$24)+0.5*($B$24*$B$24*$B$27))+(($B$28+($B$24*$B$26)+$B$23+($B$24*$B$27))*($B$25-$B$24))+(0.5*($B$25-$B$24)*($B$30)*($B$25-$B$24))+(0.5*($B$25-$B$24)*$B$27*($B$25-$B$24))+(($B$25-$B$24)*$B$30+$B$28+($B$24*$B$26)+$B$23+($B$25*$B$27)+$B$29)*($B$22-$B$25)+(0.5*($B$22-$B$25)*($B$30)*($B$22-$B$25))+(0.5*($B$22-$B$25)*$B$31*($B$22-$B$25))),"out of range")</f>
        <v>205.25</v>
      </c>
      <c r="I29" s="9">
        <f>IF(B22&gt;=B25,(B23+((B24^2+(B24*B26)^2)^0.5)+B28+((B22-B24)^2+((B22-B24)*B30)^2)^0.5+((B25^2+(B25*B27)^2)^0.5)+B29+((B22-B25)^2+((B22-B25)*B31)^2)^0.5),"out of range")</f>
        <v>51.50507466569368</v>
      </c>
      <c r="J29" s="12">
        <f>IF(H29="out of range","out of range",H29/I29)</f>
        <v>3.9850442181129817</v>
      </c>
    </row>
    <row r="30" spans="1:7" ht="14.25">
      <c r="A30" s="5" t="s">
        <v>45</v>
      </c>
      <c r="B30" s="4">
        <v>2</v>
      </c>
      <c r="C30" t="s">
        <v>26</v>
      </c>
      <c r="D30" t="s">
        <v>28</v>
      </c>
      <c r="G30" s="17" t="s">
        <v>58</v>
      </c>
    </row>
    <row r="31" spans="1:3" ht="14.25">
      <c r="A31" s="5" t="s">
        <v>46</v>
      </c>
      <c r="B31" s="4">
        <v>1.5</v>
      </c>
      <c r="C31" t="s">
        <v>26</v>
      </c>
    </row>
    <row r="32" ht="14.25">
      <c r="D32" s="5" t="s">
        <v>59</v>
      </c>
    </row>
    <row r="33" spans="1:23" ht="39.75">
      <c r="A33" s="16" t="s">
        <v>49</v>
      </c>
      <c r="B33" s="16" t="s">
        <v>48</v>
      </c>
      <c r="C33" t="s">
        <v>2</v>
      </c>
      <c r="D33" t="s">
        <v>3</v>
      </c>
      <c r="E33" t="s">
        <v>50</v>
      </c>
      <c r="F33" t="s">
        <v>4</v>
      </c>
      <c r="G33" t="s">
        <v>16</v>
      </c>
      <c r="H33" t="s">
        <v>5</v>
      </c>
      <c r="I33" t="s">
        <v>17</v>
      </c>
      <c r="J33" t="s">
        <v>18</v>
      </c>
      <c r="K33" t="s">
        <v>6</v>
      </c>
      <c r="L33" t="s">
        <v>19</v>
      </c>
      <c r="M33" t="s">
        <v>20</v>
      </c>
      <c r="N33" s="33" t="s">
        <v>74</v>
      </c>
      <c r="O33" t="s">
        <v>7</v>
      </c>
      <c r="P33" t="s">
        <v>8</v>
      </c>
      <c r="Q33" s="22" t="s">
        <v>60</v>
      </c>
      <c r="R33" s="22"/>
      <c r="S33" s="5"/>
      <c r="U33" s="7"/>
      <c r="W33" s="5"/>
    </row>
    <row r="34" spans="1:18" ht="12.75">
      <c r="A34" s="10">
        <v>693</v>
      </c>
      <c r="B34" s="18">
        <f>A34+C34</f>
        <v>700</v>
      </c>
      <c r="C34" s="10">
        <v>7</v>
      </c>
      <c r="D34">
        <f>IF(AND(C34&lt;=$B$24,C34&lt;$B$25),(($B$23*C34)+0.5*(C34*$B$26*C34)+0.5*(C34*$B$27*C34)),IF(AND(C34&gt;$B$24,C34&lt;=$B$25),(($B$23*$B$24)+0.5*($B$24*$B$26*$B$24)+0.5*($B$24*$B$24*$B$27))+(($B$28+($B$24*$B$26)+$B$23+($B$24*$B$27))*(C34-$B$24))+(0.5*(C34-$B$24)*($B$30)*(C34-$B$24))+(0.5*(C34-$B$24)*$B$27*(C34-$B$24)),IF(AND(C34&gt;$B$24,C34&gt;$B$25),(($B$23*$B$24)+0.5*($B$24*$B$26*$B$24)+0.5*($B$24*$B$24*$B$27))+(($B$28+($B$24*$B$26)+$B$23+($B$24*$B$27))*($B$25-$B$24))+(0.5*($B$25-$B$24)*($B$30)*($B$25-$B$24))+(0.5*($B$25-$B$24)*$B$27*($B$25-$B$24))+(($B$25-$B$24)*$B$30+$B$28+($B$24*$B$26)+$B$23+($B$25*$B$27)+$B$29)*(C34-$B$25)+(0.5*(C34-$B$25)*($B$30)*(C34-$B$25))+(0.5*(C34-$B$25)*$B$31*(C34-$B$25)),"invalid entry")))</f>
        <v>205.25</v>
      </c>
      <c r="E34">
        <f>IF(AND(C34&lt;=$B$24,C34&lt;$B$25),($B$23+((C34^2+(C34*$B$26)^2)^0.5)+(C34^2+(C34*$B$27)^2)^0.5),IF(AND(C34&gt;$B$24,C34&lt;=$B$25),($B$23+($B$24^2+($B$24*$B$26)^2)^0.5+$B$28+((C34-$B$24)^2+((C34-$B$24)*$B$30)^2)^0.5+($B$24^2+($B$24*$B$27)^2)^0.5+((C34-$B$24)^2+((C34-$B$24)*$B$27)^2)^0.5),IF(AND(C34&gt;$B$24,C34&gt;$B$25),($B$23+(($B$24^2+($B$24*$B$26)^2)^0.5)+$B$28+((C34-$B$24)^2+((C34-$B$24)*$B$30)^2)^0.5+(($B$25^2+($B$25*$B$27)^2)^0.5)+$B$29+((C34-$B$25)^2+((C34-$B$25)*$B$31)^2)^0.5),"out of range")))</f>
        <v>51.50507466569368</v>
      </c>
      <c r="F34">
        <f aca="true" t="shared" si="0" ref="F34:F46">IF(D34="invalid entry","invalid entry",D34/E34)</f>
        <v>3.9850442181129817</v>
      </c>
      <c r="G34">
        <f aca="true" t="shared" si="1" ref="G34:G46">F34^(4/3)</f>
        <v>6.317969518119842</v>
      </c>
      <c r="H34">
        <f>$B$14/D34</f>
        <v>2.192448233861145</v>
      </c>
      <c r="I34">
        <f>($B$17*(H34^2))/(2*32.2)</f>
        <v>0.08210422645926924</v>
      </c>
      <c r="J34" s="2">
        <f aca="true" t="shared" si="2" ref="J34:J46">C34+I34</f>
        <v>7.082104226459269</v>
      </c>
      <c r="K34" t="s">
        <v>9</v>
      </c>
      <c r="L34" s="3">
        <f>(H34^2*$B$15^2)/(2.21*(G34))</f>
        <v>0.0012393426536578926</v>
      </c>
      <c r="P34">
        <v>0</v>
      </c>
      <c r="Q34" s="23">
        <f>A34+$B$66</f>
        <v>697.623</v>
      </c>
      <c r="R34" s="13"/>
    </row>
    <row r="35" spans="1:18" ht="12.75">
      <c r="A35" s="18">
        <f>$A$34+(P35*$B$16)</f>
        <v>693.5616753091097</v>
      </c>
      <c r="B35" s="18">
        <f aca="true" t="shared" si="3" ref="B35:B44">A35+C35</f>
        <v>700.0616753091097</v>
      </c>
      <c r="C35" s="4">
        <v>6.5</v>
      </c>
      <c r="D35">
        <f aca="true" t="shared" si="4" ref="D35:D46">IF(AND(C35&lt;=$B$24,C35&lt;$B$25),(($B$23*C35)+0.5*(C35*$B$26*C35)+0.5*(C35*$B$27*C35)),IF(AND(C35&gt;$B$24,C35&lt;=$B$25),(($B$23*$B$24)+0.5*($B$24*$B$26*$B$24)+0.5*($B$24*$B$24*$B$27))+(($B$28+($B$24*$B$26)+$B$23+($B$24*$B$27))*(C35-$B$24))+(0.5*(C35-$B$24)*($B$30)*(C35-$B$24))+(0.5*(C35-$B$24)*$B$27*(C35-$B$24)),IF(AND(C35&gt;$B$24,C35&gt;$B$25),(($B$23*$B$24)+0.5*($B$24*$B$26*$B$24)+0.5*($B$24*$B$24*$B$27))+(($B$28+($B$24*$B$26)+$B$23+($B$24*$B$27))*($B$25-$B$24))+(0.5*($B$25-$B$24)*($B$30)*($B$25-$B$24))+(0.5*($B$25-$B$24)*$B$27*($B$25-$B$24))+(($B$25-$B$24)*$B$30+$B$28+($B$24*$B$26)+$B$23+($B$25*$B$27)+$B$29)*(C35-$B$25)+(0.5*(C35-$B$25)*($B$30)*(C35-$B$25))+(0.5*(C35-$B$25)*$B$31*(C35-$B$25)),"invalid entry")))</f>
        <v>181.6875</v>
      </c>
      <c r="E35">
        <f aca="true" t="shared" si="5" ref="E35:E46">IF(AND(C35&lt;=$B$24,C35&lt;$B$25),($B$23+((C35^2+(C35*$B$26)^2)^0.5)+(C35^2+(C35*$B$27)^2)^0.5),IF(AND(C35&gt;$B$24,C35&lt;=$B$25),($B$23+($B$24^2+($B$24*$B$26)^2)^0.5+$B$28+((C35-$B$24)^2+((C35-$B$24)*$B$30)^2)^0.5+($B$24^2+($B$24*$B$27)^2)^0.5+((C35-$B$24)^2+((C35-$B$24)*$B$27)^2)^0.5),IF(AND(C35&gt;$B$24,C35&gt;$B$25),($B$23+(($B$24^2+($B$24*$B$26)^2)^0.5)+$B$28+((C35-$B$24)^2+((C35-$B$24)*$B$30)^2)^0.5+(($B$25^2+($B$25*$B$27)^2)^0.5)+$B$29+((C35-$B$25)^2+((C35-$B$25)*$B$31)^2)^0.5),"out of range")))</f>
        <v>49.48565285807778</v>
      </c>
      <c r="F35">
        <f t="shared" si="0"/>
        <v>3.6715187030283323</v>
      </c>
      <c r="G35">
        <f t="shared" si="1"/>
        <v>5.664057582132323</v>
      </c>
      <c r="H35">
        <f aca="true" t="shared" si="6" ref="H35:H46">$B$14/D35</f>
        <v>2.476780185758514</v>
      </c>
      <c r="I35">
        <f aca="true" t="shared" si="7" ref="I35:I46">($B$17*(H35^2))/(2*32.2)</f>
        <v>0.10478080896618909</v>
      </c>
      <c r="J35" s="2">
        <f t="shared" si="2"/>
        <v>6.604780808966189</v>
      </c>
      <c r="K35" s="2">
        <f aca="true" t="shared" si="8" ref="K35:K46">J34-J35</f>
        <v>0.47732341749308027</v>
      </c>
      <c r="L35" s="3">
        <f aca="true" t="shared" si="9" ref="L35:L46">(H35^2*$B$15^2)/(2.21*(G35))</f>
        <v>0.001764239317935203</v>
      </c>
      <c r="M35">
        <f aca="true" t="shared" si="10" ref="M35:M44">AVERAGE(L34:L35)</f>
        <v>0.001501790985796548</v>
      </c>
      <c r="N35">
        <f>$B$16-M35</f>
        <v>0.008498209014203452</v>
      </c>
      <c r="O35">
        <f aca="true" t="shared" si="11" ref="O35:O44">K35/N35</f>
        <v>56.167530910961055</v>
      </c>
      <c r="P35" s="1">
        <f>O35</f>
        <v>56.167530910961055</v>
      </c>
      <c r="Q35" s="23">
        <f>A35+$B$66</f>
        <v>698.1846753091097</v>
      </c>
      <c r="R35" s="13"/>
    </row>
    <row r="36" spans="1:18" ht="12.75">
      <c r="A36" s="18">
        <f aca="true" t="shared" si="12" ref="A36:A44">$A$34+(P36*$B$16)</f>
        <v>694.1603841714888</v>
      </c>
      <c r="B36" s="18">
        <f t="shared" si="3"/>
        <v>700.1603841714888</v>
      </c>
      <c r="C36" s="4">
        <v>6</v>
      </c>
      <c r="D36">
        <f t="shared" si="4"/>
        <v>159</v>
      </c>
      <c r="E36">
        <f t="shared" si="5"/>
        <v>47.466231050461886</v>
      </c>
      <c r="F36">
        <f t="shared" si="0"/>
        <v>3.3497498428085706</v>
      </c>
      <c r="G36">
        <f t="shared" si="1"/>
        <v>5.012062760556009</v>
      </c>
      <c r="H36">
        <f t="shared" si="6"/>
        <v>2.830188679245283</v>
      </c>
      <c r="I36">
        <f t="shared" si="7"/>
        <v>0.1368162229214437</v>
      </c>
      <c r="J36" s="2">
        <f t="shared" si="2"/>
        <v>6.136816222921444</v>
      </c>
      <c r="K36" s="2">
        <f t="shared" si="8"/>
        <v>0.46796458604474545</v>
      </c>
      <c r="L36" s="3">
        <f t="shared" si="9"/>
        <v>0.0026033017207891225</v>
      </c>
      <c r="M36">
        <f t="shared" si="10"/>
        <v>0.002183770519362163</v>
      </c>
      <c r="N36">
        <f aca="true" t="shared" si="13" ref="N36:N46">$B$16-M36</f>
        <v>0.007816229480637838</v>
      </c>
      <c r="O36">
        <f t="shared" si="11"/>
        <v>59.87088623792012</v>
      </c>
      <c r="P36">
        <f>SUM(O35:O36)</f>
        <v>116.03841714888117</v>
      </c>
      <c r="Q36" s="23">
        <f aca="true" t="shared" si="14" ref="Q36:Q46">A36+$B$66</f>
        <v>698.7833841714888</v>
      </c>
      <c r="R36" s="13"/>
    </row>
    <row r="37" spans="1:18" ht="12.75">
      <c r="A37" s="18">
        <f t="shared" si="12"/>
        <v>694.4166087038136</v>
      </c>
      <c r="B37" s="18">
        <f t="shared" si="3"/>
        <v>700.2166087038136</v>
      </c>
      <c r="C37" s="4">
        <v>5.8</v>
      </c>
      <c r="D37">
        <f t="shared" si="4"/>
        <v>150.17000000000002</v>
      </c>
      <c r="E37">
        <f t="shared" si="5"/>
        <v>46.65846232741553</v>
      </c>
      <c r="F37">
        <f t="shared" si="0"/>
        <v>3.218494406142555</v>
      </c>
      <c r="G37">
        <f t="shared" si="1"/>
        <v>4.751933395999568</v>
      </c>
      <c r="H37">
        <f t="shared" si="6"/>
        <v>2.9966038489711657</v>
      </c>
      <c r="I37">
        <f t="shared" si="7"/>
        <v>0.15337885233595785</v>
      </c>
      <c r="J37" s="2">
        <f t="shared" si="2"/>
        <v>5.953378852335958</v>
      </c>
      <c r="K37" s="2">
        <f t="shared" si="8"/>
        <v>0.18343737058548548</v>
      </c>
      <c r="L37" s="3">
        <f t="shared" si="9"/>
        <v>0.003078212151354775</v>
      </c>
      <c r="M37">
        <f t="shared" si="10"/>
        <v>0.002840756936071949</v>
      </c>
      <c r="N37">
        <f t="shared" si="13"/>
        <v>0.007159243063928051</v>
      </c>
      <c r="O37">
        <f t="shared" si="11"/>
        <v>25.622453232484492</v>
      </c>
      <c r="P37">
        <f>SUM(O35:O37)</f>
        <v>141.66087038136567</v>
      </c>
      <c r="Q37" s="23">
        <f t="shared" si="14"/>
        <v>699.0396087038137</v>
      </c>
      <c r="R37" s="13"/>
    </row>
    <row r="38" spans="1:18" ht="12.75">
      <c r="A38" s="18">
        <f t="shared" si="12"/>
        <v>694.6891125907373</v>
      </c>
      <c r="B38" s="18">
        <f t="shared" si="3"/>
        <v>700.2891125907373</v>
      </c>
      <c r="C38" s="4">
        <v>5.6</v>
      </c>
      <c r="D38">
        <f t="shared" si="4"/>
        <v>141.48</v>
      </c>
      <c r="E38">
        <f t="shared" si="5"/>
        <v>45.85069360436918</v>
      </c>
      <c r="F38">
        <f t="shared" si="0"/>
        <v>3.085667606705914</v>
      </c>
      <c r="G38">
        <f t="shared" si="1"/>
        <v>4.492266595574024</v>
      </c>
      <c r="H38">
        <f t="shared" si="6"/>
        <v>3.180661577608143</v>
      </c>
      <c r="I38">
        <f t="shared" si="7"/>
        <v>0.1727992061863353</v>
      </c>
      <c r="J38" s="2">
        <f t="shared" si="2"/>
        <v>5.772799206186335</v>
      </c>
      <c r="K38" s="2">
        <f t="shared" si="8"/>
        <v>0.1805796461496234</v>
      </c>
      <c r="L38" s="3">
        <f t="shared" si="9"/>
        <v>0.0036684248828365695</v>
      </c>
      <c r="M38">
        <f t="shared" si="10"/>
        <v>0.003373318517095672</v>
      </c>
      <c r="N38">
        <f t="shared" si="13"/>
        <v>0.006626681482904328</v>
      </c>
      <c r="O38">
        <f t="shared" si="11"/>
        <v>27.2503886923624</v>
      </c>
      <c r="P38">
        <f>SUM(O35:O38)</f>
        <v>168.91125907372808</v>
      </c>
      <c r="Q38" s="23">
        <f t="shared" si="14"/>
        <v>699.3121125907373</v>
      </c>
      <c r="R38" s="13"/>
    </row>
    <row r="39" spans="1:18" ht="12.75">
      <c r="A39" s="18">
        <f t="shared" si="12"/>
        <v>694.9861449740548</v>
      </c>
      <c r="B39" s="18">
        <f t="shared" si="3"/>
        <v>700.3861449740548</v>
      </c>
      <c r="C39" s="4">
        <v>5.4</v>
      </c>
      <c r="D39">
        <f t="shared" si="4"/>
        <v>132.93</v>
      </c>
      <c r="E39">
        <f t="shared" si="5"/>
        <v>45.04292488132282</v>
      </c>
      <c r="F39">
        <f t="shared" si="0"/>
        <v>2.951184905292858</v>
      </c>
      <c r="G39">
        <f t="shared" si="1"/>
        <v>4.233132813101151</v>
      </c>
      <c r="H39">
        <f t="shared" si="6"/>
        <v>3.3852403520649963</v>
      </c>
      <c r="I39">
        <f t="shared" si="7"/>
        <v>0.19574281778531138</v>
      </c>
      <c r="J39" s="2">
        <f t="shared" si="2"/>
        <v>5.595742817785312</v>
      </c>
      <c r="K39" s="2">
        <f t="shared" si="8"/>
        <v>0.17705638840102278</v>
      </c>
      <c r="L39" s="3">
        <f t="shared" si="9"/>
        <v>0.004409885877524327</v>
      </c>
      <c r="M39">
        <f t="shared" si="10"/>
        <v>0.004039155380180449</v>
      </c>
      <c r="N39">
        <f t="shared" si="13"/>
        <v>0.0059608446198195515</v>
      </c>
      <c r="O39">
        <f t="shared" si="11"/>
        <v>29.703238331748814</v>
      </c>
      <c r="P39">
        <f>SUM(O35:O39)</f>
        <v>198.6144974054769</v>
      </c>
      <c r="Q39" s="23">
        <f t="shared" si="14"/>
        <v>699.6091449740549</v>
      </c>
      <c r="R39" s="13"/>
    </row>
    <row r="40" spans="1:18" ht="12.75">
      <c r="A40" s="18">
        <f t="shared" si="12"/>
        <v>695.3234646843465</v>
      </c>
      <c r="B40" s="18">
        <f t="shared" si="3"/>
        <v>700.5234646843465</v>
      </c>
      <c r="C40" s="4">
        <v>5.2</v>
      </c>
      <c r="D40">
        <f t="shared" si="4"/>
        <v>124.52</v>
      </c>
      <c r="E40">
        <f t="shared" si="5"/>
        <v>44.23515615827646</v>
      </c>
      <c r="F40">
        <f t="shared" si="0"/>
        <v>2.8149555876881904</v>
      </c>
      <c r="G40">
        <f t="shared" si="1"/>
        <v>3.974618012201875</v>
      </c>
      <c r="H40">
        <f t="shared" si="6"/>
        <v>3.6138772887889496</v>
      </c>
      <c r="I40">
        <f t="shared" si="7"/>
        <v>0.22307639696066808</v>
      </c>
      <c r="J40" s="2">
        <f t="shared" si="2"/>
        <v>5.423076396960668</v>
      </c>
      <c r="K40" s="2">
        <f>J39-J40</f>
        <v>0.172666420824644</v>
      </c>
      <c r="L40" s="3">
        <f t="shared" si="9"/>
        <v>0.005352561109323569</v>
      </c>
      <c r="M40">
        <f>AVERAGE(L39:L40)</f>
        <v>0.004881223493423948</v>
      </c>
      <c r="N40">
        <f t="shared" si="13"/>
        <v>0.005118776506576052</v>
      </c>
      <c r="O40">
        <f t="shared" si="11"/>
        <v>33.73197102917481</v>
      </c>
      <c r="P40">
        <f>SUM(O35:O40)</f>
        <v>232.3464684346517</v>
      </c>
      <c r="Q40" s="23">
        <f t="shared" si="14"/>
        <v>699.9464646843466</v>
      </c>
      <c r="R40" s="13"/>
    </row>
    <row r="41" spans="1:23" ht="12.75">
      <c r="A41" s="18">
        <f t="shared" si="12"/>
        <v>695.7371425713095</v>
      </c>
      <c r="B41" s="18">
        <f t="shared" si="3"/>
        <v>700.7371425713095</v>
      </c>
      <c r="C41" s="4">
        <v>5</v>
      </c>
      <c r="D41">
        <f t="shared" si="4"/>
        <v>116.25</v>
      </c>
      <c r="E41">
        <f t="shared" si="5"/>
        <v>43.4273874352301</v>
      </c>
      <c r="F41">
        <f t="shared" si="0"/>
        <v>2.6768821903777056</v>
      </c>
      <c r="G41">
        <f t="shared" si="1"/>
        <v>3.716826975231124</v>
      </c>
      <c r="H41">
        <f t="shared" si="6"/>
        <v>3.870967741935484</v>
      </c>
      <c r="I41">
        <f t="shared" si="7"/>
        <v>0.25594457119589453</v>
      </c>
      <c r="J41" s="2">
        <f t="shared" si="2"/>
        <v>5.2559445711958945</v>
      </c>
      <c r="K41" s="2">
        <f t="shared" si="8"/>
        <v>0.16713182576477337</v>
      </c>
      <c r="L41" s="3">
        <f t="shared" si="9"/>
        <v>0.006567150771253203</v>
      </c>
      <c r="M41">
        <f t="shared" si="10"/>
        <v>0.005959855940288385</v>
      </c>
      <c r="N41">
        <f t="shared" si="13"/>
        <v>0.004040144059711615</v>
      </c>
      <c r="O41">
        <f t="shared" si="11"/>
        <v>41.36778869630288</v>
      </c>
      <c r="P41">
        <f>SUM(O35:O41)</f>
        <v>273.7142571309546</v>
      </c>
      <c r="Q41" s="23">
        <f t="shared" si="14"/>
        <v>700.3601425713096</v>
      </c>
      <c r="R41" s="13"/>
      <c r="S41" s="5"/>
      <c r="U41" s="7"/>
      <c r="W41" s="5"/>
    </row>
    <row r="42" spans="1:18" ht="12.75">
      <c r="A42" s="18">
        <f t="shared" si="12"/>
        <v>696.0016793739893</v>
      </c>
      <c r="B42" s="18">
        <f t="shared" si="3"/>
        <v>700.9016793739893</v>
      </c>
      <c r="C42" s="4">
        <v>4.9</v>
      </c>
      <c r="D42">
        <f t="shared" si="4"/>
        <v>112.16750000000002</v>
      </c>
      <c r="E42">
        <f t="shared" si="5"/>
        <v>43.02350307370693</v>
      </c>
      <c r="F42">
        <f t="shared" si="0"/>
        <v>2.6071215030500214</v>
      </c>
      <c r="G42">
        <f t="shared" si="1"/>
        <v>3.5882417540993976</v>
      </c>
      <c r="H42">
        <f t="shared" si="6"/>
        <v>4.011857267033677</v>
      </c>
      <c r="I42">
        <f t="shared" si="7"/>
        <v>0.2749145745986959</v>
      </c>
      <c r="J42" s="2">
        <f t="shared" si="2"/>
        <v>5.174914574598696</v>
      </c>
      <c r="K42" s="2">
        <f t="shared" si="8"/>
        <v>0.08102999659719856</v>
      </c>
      <c r="L42" s="3">
        <f t="shared" si="9"/>
        <v>0.007306669750022278</v>
      </c>
      <c r="M42">
        <f t="shared" si="10"/>
        <v>0.00693691026063774</v>
      </c>
      <c r="N42">
        <f t="shared" si="13"/>
        <v>0.0030630897393622604</v>
      </c>
      <c r="O42">
        <f t="shared" si="11"/>
        <v>26.453680267973187</v>
      </c>
      <c r="P42">
        <f>SUM(O35:O42)</f>
        <v>300.1679373989278</v>
      </c>
      <c r="Q42" s="23">
        <f t="shared" si="14"/>
        <v>700.6246793739894</v>
      </c>
      <c r="R42" s="13"/>
    </row>
    <row r="43" spans="1:18" ht="12.75">
      <c r="A43" s="18">
        <f t="shared" si="12"/>
        <v>696.3500185954636</v>
      </c>
      <c r="B43" s="18">
        <f t="shared" si="3"/>
        <v>701.1500185954635</v>
      </c>
      <c r="C43" s="4">
        <v>4.8</v>
      </c>
      <c r="D43">
        <f t="shared" si="4"/>
        <v>108.12</v>
      </c>
      <c r="E43">
        <f t="shared" si="5"/>
        <v>42.619618712183744</v>
      </c>
      <c r="F43">
        <f t="shared" si="0"/>
        <v>2.5368598609515844</v>
      </c>
      <c r="G43">
        <f t="shared" si="1"/>
        <v>3.4598874327780456</v>
      </c>
      <c r="H43">
        <f t="shared" si="6"/>
        <v>4.16204217536071</v>
      </c>
      <c r="I43">
        <f t="shared" si="7"/>
        <v>0.2958828350377243</v>
      </c>
      <c r="J43" s="2">
        <f t="shared" si="2"/>
        <v>5.095882835037724</v>
      </c>
      <c r="K43" s="2">
        <f t="shared" si="8"/>
        <v>0.07903173956097209</v>
      </c>
      <c r="L43" s="3">
        <f t="shared" si="9"/>
        <v>0.008155699418370983</v>
      </c>
      <c r="M43">
        <f t="shared" si="10"/>
        <v>0.007731184584196631</v>
      </c>
      <c r="N43">
        <f t="shared" si="13"/>
        <v>0.0022688154158033696</v>
      </c>
      <c r="O43">
        <f t="shared" si="11"/>
        <v>34.83392214742493</v>
      </c>
      <c r="P43">
        <f>SUM(O35:O43)</f>
        <v>335.0018595463527</v>
      </c>
      <c r="Q43" s="23">
        <f t="shared" si="14"/>
        <v>700.9730185954636</v>
      </c>
      <c r="R43" s="13"/>
    </row>
    <row r="44" spans="1:18" ht="12.75">
      <c r="A44" s="18">
        <f t="shared" si="12"/>
        <v>696.9165428833898</v>
      </c>
      <c r="B44" s="18">
        <f t="shared" si="3"/>
        <v>701.6165428833898</v>
      </c>
      <c r="C44" s="4">
        <v>4.7</v>
      </c>
      <c r="D44">
        <f t="shared" si="4"/>
        <v>104.1075</v>
      </c>
      <c r="E44">
        <f t="shared" si="5"/>
        <v>42.21573435066057</v>
      </c>
      <c r="F44">
        <f t="shared" si="0"/>
        <v>2.466082885950579</v>
      </c>
      <c r="G44">
        <f t="shared" si="1"/>
        <v>3.3317844152255365</v>
      </c>
      <c r="H44">
        <f t="shared" si="6"/>
        <v>4.322455154527772</v>
      </c>
      <c r="I44">
        <f t="shared" si="7"/>
        <v>0.3191301307328272</v>
      </c>
      <c r="J44" s="2">
        <f t="shared" si="2"/>
        <v>5.019130130732828</v>
      </c>
      <c r="K44" s="2">
        <f t="shared" si="8"/>
        <v>0.07675270430489611</v>
      </c>
      <c r="L44" s="3">
        <f t="shared" si="9"/>
        <v>0.009134700801331929</v>
      </c>
      <c r="M44">
        <f t="shared" si="10"/>
        <v>0.008645200109851457</v>
      </c>
      <c r="N44">
        <f t="shared" si="13"/>
        <v>0.0013547998901485437</v>
      </c>
      <c r="O44">
        <f t="shared" si="11"/>
        <v>56.65242879262468</v>
      </c>
      <c r="P44">
        <f>SUM(O35:O44)</f>
        <v>391.6542883389774</v>
      </c>
      <c r="Q44" s="23">
        <f t="shared" si="14"/>
        <v>701.5395428833898</v>
      </c>
      <c r="R44" s="13"/>
    </row>
    <row r="45" spans="1:18" ht="12.75">
      <c r="A45" s="18">
        <f>$A$34+(P45*$B$16)</f>
        <v>697.2366337504051</v>
      </c>
      <c r="B45" s="18">
        <f>A45+C45</f>
        <v>701.906633750405</v>
      </c>
      <c r="C45" s="4">
        <v>4.67</v>
      </c>
      <c r="D45">
        <f t="shared" si="4"/>
        <v>102.910575</v>
      </c>
      <c r="E45">
        <f t="shared" si="5"/>
        <v>42.09456904220362</v>
      </c>
      <c r="F45">
        <f t="shared" si="0"/>
        <v>2.4447470859440994</v>
      </c>
      <c r="G45">
        <f t="shared" si="1"/>
        <v>3.2934058266596016</v>
      </c>
      <c r="H45">
        <f t="shared" si="6"/>
        <v>4.372728458664234</v>
      </c>
      <c r="I45">
        <f t="shared" si="7"/>
        <v>0.3265967327722562</v>
      </c>
      <c r="J45" s="2">
        <f t="shared" si="2"/>
        <v>4.9965967327722565</v>
      </c>
      <c r="K45" s="2">
        <f t="shared" si="8"/>
        <v>0.0225333979605713</v>
      </c>
      <c r="L45" s="3">
        <f t="shared" si="9"/>
        <v>0.009457361623273429</v>
      </c>
      <c r="M45">
        <f>AVERAGE(L44:L45)</f>
        <v>0.009296031212302679</v>
      </c>
      <c r="N45">
        <f t="shared" si="13"/>
        <v>0.0007039687876973216</v>
      </c>
      <c r="O45">
        <f>K45/N45</f>
        <v>32.00908670152541</v>
      </c>
      <c r="P45">
        <f>SUM(O35:O45)</f>
        <v>423.6633750405028</v>
      </c>
      <c r="Q45" s="23">
        <f t="shared" si="14"/>
        <v>701.8596337504051</v>
      </c>
      <c r="R45" s="13"/>
    </row>
    <row r="46" spans="1:18" ht="12.75">
      <c r="A46" s="18">
        <f>$A$34+(P46*$B$16)</f>
        <v>698.5025244712746</v>
      </c>
      <c r="B46" s="18">
        <f>A46+C46</f>
        <v>703.1255244712746</v>
      </c>
      <c r="C46" s="4">
        <v>4.623</v>
      </c>
      <c r="D46">
        <f t="shared" si="4"/>
        <v>101.04172575000001</v>
      </c>
      <c r="E46">
        <f t="shared" si="5"/>
        <v>41.90474339228772</v>
      </c>
      <c r="F46">
        <f t="shared" si="0"/>
        <v>2.411224066070669</v>
      </c>
      <c r="G46">
        <f t="shared" si="1"/>
        <v>3.233330454206633</v>
      </c>
      <c r="H46">
        <f t="shared" si="6"/>
        <v>4.453605643211215</v>
      </c>
      <c r="I46">
        <f t="shared" si="7"/>
        <v>0.3387898066423457</v>
      </c>
      <c r="J46" s="2">
        <f t="shared" si="2"/>
        <v>4.961789806642346</v>
      </c>
      <c r="K46" s="2">
        <f t="shared" si="8"/>
        <v>0.03480692612991021</v>
      </c>
      <c r="L46" s="3">
        <f t="shared" si="9"/>
        <v>0.009992718457793898</v>
      </c>
      <c r="M46">
        <f>AVERAGE(L45:L46)</f>
        <v>0.009725040040533664</v>
      </c>
      <c r="N46">
        <f t="shared" si="13"/>
        <v>0.0002749599594663362</v>
      </c>
      <c r="O46">
        <f>K46/N46</f>
        <v>126.58907208695481</v>
      </c>
      <c r="P46">
        <f>SUM(O35:O46)</f>
        <v>550.2524471274576</v>
      </c>
      <c r="Q46" s="23">
        <f t="shared" si="14"/>
        <v>703.1255244712746</v>
      </c>
      <c r="R46" s="13"/>
    </row>
    <row r="47" spans="1:18" ht="12.75">
      <c r="A47" s="18"/>
      <c r="B47" s="18"/>
      <c r="C47" s="13"/>
      <c r="J47" s="2"/>
      <c r="K47" s="2"/>
      <c r="L47" s="3"/>
      <c r="Q47" s="13"/>
      <c r="R47" s="13"/>
    </row>
    <row r="48" spans="1:18" ht="15.75">
      <c r="A48" s="28" t="s">
        <v>77</v>
      </c>
      <c r="B48" s="29"/>
      <c r="C48" s="29"/>
      <c r="D48" s="29"/>
      <c r="E48" s="29"/>
      <c r="F48" s="29"/>
      <c r="G48" s="29"/>
      <c r="H48" s="30"/>
      <c r="I48" s="30"/>
      <c r="J48" s="31"/>
      <c r="K48" s="29"/>
      <c r="L48" s="29"/>
      <c r="M48" s="29"/>
      <c r="N48" s="29"/>
      <c r="O48" s="29"/>
      <c r="P48" s="32"/>
      <c r="Q48" s="13"/>
      <c r="R48" s="13"/>
    </row>
    <row r="49" spans="8:18" ht="12.75">
      <c r="H49" s="2"/>
      <c r="I49" s="2"/>
      <c r="J49" s="3"/>
      <c r="P49" s="13"/>
      <c r="Q49" s="13"/>
      <c r="R49" s="13"/>
    </row>
    <row r="50" spans="1:18" ht="15">
      <c r="A50" s="5" t="s">
        <v>31</v>
      </c>
      <c r="F50" t="s">
        <v>14</v>
      </c>
      <c r="I50" s="2"/>
      <c r="J50" s="5" t="s">
        <v>32</v>
      </c>
      <c r="M50" t="s">
        <v>23</v>
      </c>
      <c r="P50" s="13"/>
      <c r="Q50" s="13"/>
      <c r="R50" s="13"/>
    </row>
    <row r="51" spans="1:18" ht="14.25">
      <c r="A51" t="s">
        <v>1</v>
      </c>
      <c r="E51" t="s">
        <v>30</v>
      </c>
      <c r="F51" t="s">
        <v>15</v>
      </c>
      <c r="H51" s="24">
        <f>(B14*B15)/(1.486*B16^0.5)</f>
        <v>181.6958277254374</v>
      </c>
      <c r="I51" s="2"/>
      <c r="M51" t="s">
        <v>29</v>
      </c>
      <c r="P51" s="13"/>
      <c r="Q51" s="13"/>
      <c r="R51" s="13"/>
    </row>
    <row r="52" spans="9:18" ht="12.75">
      <c r="I52" s="2"/>
      <c r="P52" s="13"/>
      <c r="Q52" s="13"/>
      <c r="R52" s="13"/>
    </row>
    <row r="53" spans="1:18" ht="14.25">
      <c r="A53" t="s">
        <v>10</v>
      </c>
      <c r="B53" t="s">
        <v>3</v>
      </c>
      <c r="C53" t="s">
        <v>50</v>
      </c>
      <c r="D53" t="s">
        <v>4</v>
      </c>
      <c r="E53" t="s">
        <v>21</v>
      </c>
      <c r="F53" t="s">
        <v>22</v>
      </c>
      <c r="G53" t="s">
        <v>11</v>
      </c>
      <c r="I53" s="2"/>
      <c r="J53" t="s">
        <v>10</v>
      </c>
      <c r="K53" t="s">
        <v>13</v>
      </c>
      <c r="L53" t="s">
        <v>3</v>
      </c>
      <c r="M53" t="s">
        <v>24</v>
      </c>
      <c r="N53" t="s">
        <v>57</v>
      </c>
      <c r="P53" s="13"/>
      <c r="Q53" s="13"/>
      <c r="R53" s="13"/>
    </row>
    <row r="54" spans="1:23" ht="12.75">
      <c r="A54" s="20">
        <v>3</v>
      </c>
      <c r="B54">
        <f>IF(AND(A54&lt;$B$24,A54&lt;$B$25),(($B$23*A54)+0.5*(A54*$B$26*A54)+0.5*(A54*$B$27*A54)),IF(AND(A54&gt;=$B$24,A54&lt;$B$25),(($B$23*$B$24)+0.5*($B$24*$B$26*$B$24)+0.5*($B$24*$B$24*$B$27))+(($B$28+($B$24*$B$26)+$B$23+($B$24*$B$27))*(A54-$B$24))+(0.5*(A54-$B$24)*($B$30)*(A54-$B$24))+(0.5*(A54-$B$24)*$B$27*(A54-$B$24)),IF(AND(A54&gt;$B$24,A54&gt;=$B$25),(($B$23*$B$24)+0.5*($B$24*$B$26*$B$24)+0.5*($B$24*$B$24*$B$27))+(($B$28+($B$24*$B$26)+$B$23+($B$24*$B$27))*($B$25-$B$24))+(0.5*($B$25-$B$24)*($B$30)*($B$25-$B$24))+(0.5*($B$25-$B$24)*$B$27*($B$25-$B$24))+(($B$25-$B$24)*$B$30+$B$28+($B$24*$B$26)+$B$23+($B$25*$B$27)+$B$29)*(A54-$B$25)+(0.5*(A54-$B$25)*($B$30)*(A54-$B$25))+(0.5*(A54-$B$25)*$B$31*(A54-$B$25)),"invalid entry")))</f>
        <v>48</v>
      </c>
      <c r="C54">
        <f>IF(AND(A54&lt;$B$24,A54&lt;$B$25),($B$23+((A54^2+(A54*$B$26)^2)^0.5)+(A54^2+(A54*$B$27)^2)^0.5),IF(AND(A54&gt;=$B$24,A54&lt;=$B$25),($B$23+($B$24^2+($B$24*$B$26)^2)^0.5+$B$28+((A54-$B$24)^2+((A54-$B$24)*$B$30)^2)^0.5+($B$24^2+($B$24*$B$27)^2)^0.5+((A54-$B$24)^2+((A54-$B$24)*$B$27)^2)^0.5),IF(AND(A54&gt;$B$24,A54&gt;$B$25),($B$23+(($B$24^2+($B$24*$B$26)^2)^0.5)+$B$28+((A54-$B$24)^2+((A54-$B$24)*$B$30)^2)^0.5+(($B$25^2+($B$25*$B$27)^2)^0.5)+$B$29+((A54-$B$25)^2+((A54-$B$25)*$B$31)^2)^0.5),"out of range")))</f>
        <v>28.41640786499874</v>
      </c>
      <c r="D54" s="12">
        <f>IF(B54="out of range","out of range",B54/C54)</f>
        <v>1.6891649440013459</v>
      </c>
      <c r="E54">
        <f aca="true" t="shared" si="15" ref="E54:E64">D54^(2/3)</f>
        <v>1.4183433381104809</v>
      </c>
      <c r="F54" s="2">
        <f aca="true" t="shared" si="16" ref="F54:F64">B54*E54</f>
        <v>68.08048022930308</v>
      </c>
      <c r="G54" t="s">
        <v>12</v>
      </c>
      <c r="I54" s="2"/>
      <c r="J54" s="4">
        <v>3</v>
      </c>
      <c r="K54">
        <f>B14</f>
        <v>450</v>
      </c>
      <c r="L54">
        <f aca="true" t="shared" si="17" ref="L54:L59">IF(AND(J54&lt;=$B$24,J54&lt;$B$25),(($B$23*J54)+0.5*(J54*$B$26*J54)+0.5*(J54*$B$27*J54)),IF(AND(J54&gt;$B$24,J54&lt;=$B$25),(($B$23*$B$24)+0.5*($B$24*$B$26*$B$24)+0.5*($B$24*$B$24*$B$27))+(($B$28+($B$24*$B$26)+$B$23+($B$24*$B$27))*(J54-$B$24))+(0.5*(J54-$B$24)*($B$30)*(J54-$B$24))+(0.5*(J54-$B$24)*$B$27*(J54-$B$24)),IF(AND(J54&gt;$B$24,J54&gt;$B$25),(($B$23*$B$24)+0.5*($B$24*$B$26*$B$24)+0.5*($B$24*$B$24*$B$27))+(($B$28+($B$24*$B$26)+$B$23+($B$24*$B$27))*($B$25-$B$24))+(0.5*($B$25-$B$24)*($B$30)*($B$25-$B$24))+(0.5*($B$25-$B$24)*$B$27*($B$25-$B$24))+(($B$25-$B$24)*$B$30+$B$28+($B$24*$B$26)+$B$23+($B$25*$B$27)+$B$29)*(J54-$B$25)+(0.5*(J54-$B$25)*($B$30)*(J54-$B$25))+(0.5*(J54-$B$25)*$B$31*(J54-$B$25)),"invalid entry")))</f>
        <v>48</v>
      </c>
      <c r="M54">
        <f aca="true" t="shared" si="18" ref="M54:M59">(L54/IF(AND(J54&lt;=$B$24,J54&lt;$B$25),($B$23+(J54*$B$26)+(J54*$B$27)),IF(AND(J54&gt;$B$24,J54&lt;=$B$25),($B$23+(J54*$B$30)+$B$28+($B$24*$B$26)+(J54-$B$24)*$B$30),IF(AND(J54&gt;$B$24,J54&gt;$B$25),(J54-$B$24)*$B$30+$B$28+($B$24*$B$26)+$B$23+($B$25*$B$27)+$B$29+(J54-$B$25)*$B$31,"out of range"))))^0.5</f>
        <v>1.4770978917519928</v>
      </c>
      <c r="N54" s="1">
        <f aca="true" t="shared" si="19" ref="N54:N59">32.2^0.5*L54*M54</f>
        <v>402.3263261672951</v>
      </c>
      <c r="P54" s="13"/>
      <c r="Q54" s="13"/>
      <c r="R54" s="13"/>
      <c r="S54" s="5"/>
      <c r="U54" s="7"/>
      <c r="W54" s="5"/>
    </row>
    <row r="55" spans="1:18" ht="12.75">
      <c r="A55" s="20">
        <v>3.5</v>
      </c>
      <c r="B55">
        <f aca="true" t="shared" si="20" ref="B55:B64">IF(AND(A55&lt;$B$24,A55&lt;$B$25),(($B$23*A55)+0.5*(A55*$B$26*A55)+0.5*(A55*$B$27*A55)),IF(AND(A55&gt;=$B$24,A55&lt;$B$25),(($B$23*$B$24)+0.5*($B$24*$B$26*$B$24)+0.5*($B$24*$B$24*$B$27))+(($B$28+($B$24*$B$26)+$B$23+($B$24*$B$27))*(A55-$B$24))+(0.5*(A55-$B$24)*($B$30)*(A55-$B$24))+(0.5*(A55-$B$24)*$B$27*(A55-$B$24)),IF(AND(A55&gt;$B$24,A55&gt;=$B$25),(($B$23*$B$24)+0.5*($B$24*$B$26*$B$24)+0.5*($B$24*$B$24*$B$27))+(($B$28+($B$24*$B$26)+$B$23+($B$24*$B$27))*($B$25-$B$24))+(0.5*($B$25-$B$24)*($B$30)*($B$25-$B$24))+(0.5*($B$25-$B$24)*$B$27*($B$25-$B$24))+(($B$25-$B$24)*$B$30+$B$28+($B$24*$B$26)+$B$23+($B$25*$B$27)+$B$29)*(A55-$B$25)+(0.5*(A55-$B$25)*($B$30)*(A55-$B$25))+(0.5*(A55-$B$25)*$B$31*(A55-$B$25)),"invalid entry")))</f>
        <v>62</v>
      </c>
      <c r="C55">
        <f aca="true" t="shared" si="21" ref="C55:C61">IF(AND(A55&lt;$B$24,A55&lt;$B$25),($B$23+((A55^2+(A55*$B$26)^2)^0.5)+(A55^2+(A55*$B$27)^2)^0.5),IF(AND(A55&gt;=$B$24,A55&lt;=$B$25),($B$23+($B$24^2+($B$24*$B$26)^2)^0.5+$B$28+((A55-$B$24)^2+((A55-$B$24)*$B$30)^2)^0.5+($B$24^2+($B$24*$B$27)^2)^0.5+((A55-$B$24)^2+((A55-$B$24)*$B$27)^2)^0.5),IF(AND(A55&gt;$B$24,A55&gt;$B$25),($B$23+(($B$24^2+($B$24*$B$26)^2)^0.5)+$B$28+((A55-$B$24)^2+((A55-$B$24)*$B$30)^2)^0.5+(($B$25^2+($B$25*$B$27)^2)^0.5)+$B$29+((A55-$B$25)^2+((A55-$B$25)*$B$31)^2)^0.5),"out of range")))</f>
        <v>30.652475842498532</v>
      </c>
      <c r="D55" s="12">
        <f aca="true" t="shared" si="22" ref="D55:D64">IF(B55="out of range","out of range",B55/C55)</f>
        <v>2.022675111745436</v>
      </c>
      <c r="E55">
        <f t="shared" si="15"/>
        <v>1.5993766592264007</v>
      </c>
      <c r="F55" s="2">
        <f t="shared" si="16"/>
        <v>99.16135287203684</v>
      </c>
      <c r="G55" t="s">
        <v>12</v>
      </c>
      <c r="I55" s="2"/>
      <c r="J55" s="4">
        <v>3.2</v>
      </c>
      <c r="K55">
        <f>B14</f>
        <v>450</v>
      </c>
      <c r="L55">
        <f t="shared" si="17"/>
        <v>53.480000000000004</v>
      </c>
      <c r="M55">
        <f t="shared" si="18"/>
        <v>1.3869899088292765</v>
      </c>
      <c r="N55" s="1">
        <f t="shared" si="19"/>
        <v>420.91328739179056</v>
      </c>
      <c r="P55" s="13"/>
      <c r="Q55" s="13"/>
      <c r="R55" s="13"/>
    </row>
    <row r="56" spans="1:18" ht="12.75">
      <c r="A56" s="20">
        <v>4</v>
      </c>
      <c r="B56">
        <f t="shared" si="20"/>
        <v>77</v>
      </c>
      <c r="C56">
        <f t="shared" si="21"/>
        <v>32.88854381999832</v>
      </c>
      <c r="D56" s="12">
        <f t="shared" si="22"/>
        <v>2.341240780419689</v>
      </c>
      <c r="E56">
        <f t="shared" si="15"/>
        <v>1.7631829874539244</v>
      </c>
      <c r="F56" s="2">
        <f t="shared" si="16"/>
        <v>135.7650900339522</v>
      </c>
      <c r="G56" t="s">
        <v>12</v>
      </c>
      <c r="J56" s="4">
        <v>3.25</v>
      </c>
      <c r="K56">
        <f>B14</f>
        <v>450</v>
      </c>
      <c r="L56">
        <f t="shared" si="17"/>
        <v>54.875</v>
      </c>
      <c r="M56">
        <f t="shared" si="18"/>
        <v>1.399936223037117</v>
      </c>
      <c r="N56" s="1">
        <f t="shared" si="19"/>
        <v>435.9239398652662</v>
      </c>
      <c r="P56" s="13"/>
      <c r="Q56" s="13"/>
      <c r="R56" s="13"/>
    </row>
    <row r="57" spans="1:18" ht="12.75">
      <c r="A57" s="20">
        <v>4.2</v>
      </c>
      <c r="B57">
        <f t="shared" si="20"/>
        <v>84.57000000000001</v>
      </c>
      <c r="C57">
        <f t="shared" si="21"/>
        <v>40.19631254304468</v>
      </c>
      <c r="D57" s="12">
        <f t="shared" si="22"/>
        <v>2.10392433160224</v>
      </c>
      <c r="E57">
        <f t="shared" si="15"/>
        <v>1.6419253603348076</v>
      </c>
      <c r="F57" s="2">
        <f t="shared" si="16"/>
        <v>138.8576277235147</v>
      </c>
      <c r="G57" t="s">
        <v>12</v>
      </c>
      <c r="J57" s="4">
        <v>3.27</v>
      </c>
      <c r="K57">
        <f>B14</f>
        <v>450</v>
      </c>
      <c r="L57">
        <f t="shared" si="17"/>
        <v>55.43579999999999</v>
      </c>
      <c r="M57">
        <f t="shared" si="18"/>
        <v>1.4050656218516635</v>
      </c>
      <c r="N57" s="1">
        <f t="shared" si="19"/>
        <v>441.9924623168896</v>
      </c>
      <c r="P57" s="13"/>
      <c r="Q57" s="13"/>
      <c r="R57" s="13"/>
    </row>
    <row r="58" spans="1:18" ht="12.75">
      <c r="A58" s="20">
        <v>4.5</v>
      </c>
      <c r="B58">
        <f t="shared" si="20"/>
        <v>96.1875</v>
      </c>
      <c r="C58">
        <f t="shared" si="21"/>
        <v>41.40796562761421</v>
      </c>
      <c r="D58" s="12">
        <f t="shared" si="22"/>
        <v>2.322922619889694</v>
      </c>
      <c r="E58">
        <f t="shared" si="15"/>
        <v>1.753974043197989</v>
      </c>
      <c r="F58" s="2">
        <f t="shared" si="16"/>
        <v>168.71037828010657</v>
      </c>
      <c r="G58" t="s">
        <v>12</v>
      </c>
      <c r="J58" s="21">
        <v>3.296</v>
      </c>
      <c r="K58">
        <f>B14</f>
        <v>450</v>
      </c>
      <c r="L58">
        <f t="shared" si="17"/>
        <v>56.16723199999999</v>
      </c>
      <c r="M58">
        <f t="shared" si="18"/>
        <v>1.4116927872906109</v>
      </c>
      <c r="N58" s="1">
        <f t="shared" si="19"/>
        <v>449.9364251273758</v>
      </c>
      <c r="P58" s="13"/>
      <c r="Q58" s="13"/>
      <c r="R58" s="13"/>
    </row>
    <row r="59" spans="1:18" ht="12.75">
      <c r="A59" s="20">
        <v>4.55</v>
      </c>
      <c r="B59">
        <f t="shared" si="20"/>
        <v>98.154375</v>
      </c>
      <c r="C59">
        <f t="shared" si="21"/>
        <v>41.6099078083758</v>
      </c>
      <c r="D59" s="12">
        <f t="shared" si="22"/>
        <v>2.358918348294013</v>
      </c>
      <c r="E59">
        <f t="shared" si="15"/>
        <v>1.7720471461109226</v>
      </c>
      <c r="F59" s="2">
        <f t="shared" si="16"/>
        <v>173.9341800970513</v>
      </c>
      <c r="G59" t="s">
        <v>12</v>
      </c>
      <c r="J59" s="4">
        <v>3.3</v>
      </c>
      <c r="K59">
        <f>B14</f>
        <v>450</v>
      </c>
      <c r="L59">
        <f t="shared" si="17"/>
        <v>56.28</v>
      </c>
      <c r="M59">
        <f t="shared" si="18"/>
        <v>1.4127082787508056</v>
      </c>
      <c r="N59" s="1">
        <f t="shared" si="19"/>
        <v>451.16407936236857</v>
      </c>
      <c r="P59" s="13"/>
      <c r="Q59" s="13"/>
      <c r="R59" s="13"/>
    </row>
    <row r="60" spans="1:18" ht="12.75">
      <c r="A60" s="20">
        <v>4.6</v>
      </c>
      <c r="B60">
        <f t="shared" si="20"/>
        <v>100.12999999999998</v>
      </c>
      <c r="C60">
        <f t="shared" si="21"/>
        <v>41.811849989137386</v>
      </c>
      <c r="D60" s="12">
        <f t="shared" si="22"/>
        <v>2.3947756443690844</v>
      </c>
      <c r="E60">
        <f t="shared" si="15"/>
        <v>1.7899595703510982</v>
      </c>
      <c r="F60" s="2">
        <f t="shared" si="16"/>
        <v>179.22865177925544</v>
      </c>
      <c r="G60" t="s">
        <v>12</v>
      </c>
      <c r="P60" s="13"/>
      <c r="Q60" s="13"/>
      <c r="R60" s="13"/>
    </row>
    <row r="61" spans="1:18" ht="14.25">
      <c r="A61" s="20">
        <v>4.61</v>
      </c>
      <c r="B61">
        <f t="shared" si="20"/>
        <v>100.52617500000002</v>
      </c>
      <c r="C61">
        <f t="shared" si="21"/>
        <v>41.852238425289706</v>
      </c>
      <c r="D61" s="12">
        <f t="shared" si="22"/>
        <v>2.4019306680441708</v>
      </c>
      <c r="E61">
        <f t="shared" si="15"/>
        <v>1.7935231147704145</v>
      </c>
      <c r="F61" s="2">
        <f t="shared" si="16"/>
        <v>180.2960185019558</v>
      </c>
      <c r="G61" t="s">
        <v>12</v>
      </c>
      <c r="J61" s="25" t="s">
        <v>63</v>
      </c>
      <c r="K61" s="27">
        <v>3.3</v>
      </c>
      <c r="P61" s="13"/>
      <c r="Q61" s="13"/>
      <c r="R61" s="13"/>
    </row>
    <row r="62" spans="1:18" ht="12.75">
      <c r="A62" s="20">
        <v>4.62</v>
      </c>
      <c r="B62">
        <f t="shared" si="20"/>
        <v>100.9227</v>
      </c>
      <c r="C62">
        <f>IF(AND(A62&lt;$B$24,A62&lt;$B$25),($B$23+((A62^2+(A62*$B$26)^2)^0.5)+(A62^2+(A62*$B$27)^2)^0.5),IF(AND(A62&gt;=$B$24,A62&lt;=$B$25),($B$23+($B$24^2+($B$24*$B$26)^2)^0.5+$B$28+((A62-$B$24)^2+((A62-$B$24)*$B$30)^2)^0.5+($B$24^2+($B$24*$B$27)^2)^0.5+((A62-$B$24)^2+((A62-$B$24)*$B$27)^2)^0.5),IF(AND(A62&gt;$B$24,A62&gt;$B$25),($B$23+(($B$24^2+($B$24*$B$26)^2)^0.5)+$B$28+((A62-$B$24)^2+((A62-$B$24)*$B$30)^2)^0.5+(($B$25^2+($B$25*$B$27)^2)^0.5)+$B$29+((A62-$B$25)^2+((A62-$B$25)*$B$31)^2)^0.5),"out of range")))</f>
        <v>41.892626861442025</v>
      </c>
      <c r="D62" s="12">
        <f t="shared" si="22"/>
        <v>2.4090802501785644</v>
      </c>
      <c r="E62">
        <f t="shared" si="15"/>
        <v>1.7970804163844667</v>
      </c>
      <c r="F62" s="2">
        <f t="shared" si="16"/>
        <v>181.36620773864462</v>
      </c>
      <c r="G62" t="s">
        <v>12</v>
      </c>
      <c r="P62" s="13"/>
      <c r="Q62" s="13"/>
      <c r="R62" s="13"/>
    </row>
    <row r="63" spans="1:18" ht="12.75">
      <c r="A63" s="21">
        <v>4.623</v>
      </c>
      <c r="B63">
        <f t="shared" si="20"/>
        <v>101.04172575000001</v>
      </c>
      <c r="C63">
        <f>IF(AND(A63&lt;$B$24,A63&lt;$B$25),($B$23+((A63^2+(A63*$B$26)^2)^0.5)+(A63^2+(A63*$B$27)^2)^0.5),IF(AND(A63&gt;=$B$24,A63&lt;=$B$25),($B$23+($B$24^2+($B$24*$B$26)^2)^0.5+$B$28+((A63-$B$24)^2+((A63-$B$24)*$B$30)^2)^0.5+($B$24^2+($B$24*$B$27)^2)^0.5+((A63-$B$24)^2+((A63-$B$24)*$B$27)^2)^0.5),IF(AND(A63&gt;$B$24,A63&gt;$B$25),($B$23+(($B$24^2+($B$24*$B$26)^2)^0.5)+$B$28+((A63-$B$24)^2+((A63-$B$24)*$B$30)^2)^0.5+(($B$25^2+($B$25*$B$27)^2)^0.5)+$B$29+((A63-$B$25)^2+((A63-$B$25)*$B$31)^2)^0.5),"out of range")))</f>
        <v>41.90474339228772</v>
      </c>
      <c r="D63" s="12">
        <f t="shared" si="22"/>
        <v>2.411224066070669</v>
      </c>
      <c r="E63">
        <f t="shared" si="15"/>
        <v>1.7981463939864943</v>
      </c>
      <c r="F63" s="2">
        <f t="shared" si="16"/>
        <v>181.68781479953483</v>
      </c>
      <c r="G63" t="s">
        <v>55</v>
      </c>
      <c r="P63" s="13"/>
      <c r="Q63" s="13"/>
      <c r="R63" s="13"/>
    </row>
    <row r="64" spans="1:18" ht="12.75">
      <c r="A64" s="20">
        <v>4.64</v>
      </c>
      <c r="B64">
        <f t="shared" si="20"/>
        <v>101.71679999999998</v>
      </c>
      <c r="C64">
        <f>IF(AND(A64&lt;$B$24,A64&lt;$B$25),($B$23+((A64^2+(A64*$B$26)^2)^0.5)+(A64^2+(A64*$B$27)^2)^0.5),IF(AND(A64&gt;=$B$24,A64&lt;=$B$25),($B$23+($B$24^2+($B$24*$B$26)^2)^0.5+$B$28+((A64-$B$24)^2+((A64-$B$24)*$B$30)^2)^0.5+($B$24^2+($B$24*$B$27)^2)^0.5+((A64-$B$24)^2+((A64-$B$24)*$B$27)^2)^0.5),IF(AND(A64&gt;$B$24,A64&gt;$B$25),($B$23+(($B$24^2+($B$24*$B$26)^2)^0.5)+$B$28+((A64-$B$24)^2+((A64-$B$24)*$B$30)^2)^0.5+(($B$25^2+($B$25*$B$27)^2)^0.5)+$B$29+((A64-$B$25)^2+((A64-$B$25)*$B$31)^2)^0.5),"out of range")))</f>
        <v>41.97340373374666</v>
      </c>
      <c r="D64" s="12">
        <f t="shared" si="22"/>
        <v>2.4233631526580144</v>
      </c>
      <c r="E64">
        <f t="shared" si="15"/>
        <v>1.80417641027151</v>
      </c>
      <c r="F64" s="2">
        <f t="shared" si="16"/>
        <v>183.51505108830509</v>
      </c>
      <c r="G64" t="s">
        <v>56</v>
      </c>
      <c r="P64" s="13"/>
      <c r="Q64" s="13"/>
      <c r="R64" s="13"/>
    </row>
    <row r="65" spans="16:18" ht="12.75">
      <c r="P65" s="13"/>
      <c r="Q65" s="13"/>
      <c r="R65" s="13"/>
    </row>
    <row r="66" spans="1:18" ht="14.25">
      <c r="A66" s="25" t="s">
        <v>62</v>
      </c>
      <c r="B66" s="26">
        <v>4.623</v>
      </c>
      <c r="P66" s="13"/>
      <c r="Q66" s="13"/>
      <c r="R66" s="13"/>
    </row>
    <row r="67" ht="15.75">
      <c r="A67" s="34" t="s">
        <v>73</v>
      </c>
    </row>
    <row r="68" ht="12.75">
      <c r="B68" s="19"/>
    </row>
  </sheetData>
  <mergeCells count="1">
    <mergeCell ref="A1:U1"/>
  </mergeCells>
  <printOptions horizontalCentered="1"/>
  <pageMargins left="0.75" right="0.32" top="0.75" bottom="0.75" header="0.5" footer="0.5"/>
  <pageSetup horizontalDpi="600" verticalDpi="600" orientation="landscape" scale="50" r:id="rId7"/>
  <drawing r:id="rId6"/>
  <legacyDrawing r:id="rId5"/>
  <oleObjects>
    <oleObject progId="Equation.3" shapeId="7515671" r:id="rId2"/>
    <oleObject progId="Equation.3" shapeId="7515672" r:id="rId3"/>
    <oleObject progId="Equation.3" shapeId="75156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Greensboro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Borchers</dc:creator>
  <cp:keywords/>
  <dc:description/>
  <cp:lastModifiedBy>win2k</cp:lastModifiedBy>
  <cp:lastPrinted>2008-07-15T13:21:41Z</cp:lastPrinted>
  <dcterms:created xsi:type="dcterms:W3CDTF">2008-03-06T22:15:18Z</dcterms:created>
  <dcterms:modified xsi:type="dcterms:W3CDTF">2008-07-15T13:23:24Z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1787547471</vt:i4>
  </property>
  <property fmtid="{D5CDD505-2E9C-101B-9397-08002B2CF9AE}" pid="3" name="_NewReviewCycle">
    <vt:lpwstr/>
  </property>
  <property fmtid="{D5CDD505-2E9C-101B-9397-08002B2CF9AE}" pid="4" name="_EmailSubject">
    <vt:lpwstr>StepBackwaterCalculation.xls - Keep this one; delete all others</vt:lpwstr>
  </property>
  <property fmtid="{D5CDD505-2E9C-101B-9397-08002B2CF9AE}" pid="5" name="_AuthorEmail">
    <vt:lpwstr>Michael.Borchers@greensboro-nc.gov</vt:lpwstr>
  </property>
  <property fmtid="{D5CDD505-2E9C-101B-9397-08002B2CF9AE}" pid="6" name="_AuthorEmailDisplayName">
    <vt:lpwstr>Borchers, Mike</vt:lpwstr>
  </property>
  <property fmtid="{D5CDD505-2E9C-101B-9397-08002B2CF9AE}" pid="7" name="_PreviousAdHocReviewCycleID">
    <vt:i4>-1502543805</vt:i4>
  </property>
  <property fmtid="{D5CDD505-2E9C-101B-9397-08002B2CF9AE}" pid="8" name="_ReviewingToolsShownOnce">
    <vt:lpwstr/>
  </property>
</Properties>
</file>