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tabRatio="679" activeTab="0"/>
  </bookViews>
  <sheets>
    <sheet name="BOQ" sheetId="1" r:id="rId1"/>
    <sheet name="Productivity" sheetId="2" r:id="rId2"/>
    <sheet name="Material Breakdown" sheetId="3" r:id="rId3"/>
    <sheet name="Resource sheet and cost summary" sheetId="4" r:id="rId4"/>
    <sheet name="Rough schedule" sheetId="5" r:id="rId5"/>
    <sheet name="Tracking" sheetId="6" r:id="rId6"/>
  </sheets>
  <definedNames>
    <definedName name="_xlnm._FilterDatabase" localSheetId="0" hidden="1">'BOQ'!$A$1:$J$173</definedName>
    <definedName name="_xlnm._FilterDatabase" localSheetId="2" hidden="1">'Material Breakdown'!$A$1:$V$344</definedName>
    <definedName name="_xlnm._FilterDatabase" localSheetId="3" hidden="1">'Resource sheet and cost summary'!$B$1:$W$86</definedName>
    <definedName name="_xlnm.Print_Area" localSheetId="2">'Material Breakdown'!$A$1:$T$345</definedName>
    <definedName name="_xlnm.Print_Titles" localSheetId="0">'BOQ'!$1:$1</definedName>
    <definedName name="_xlnm.Print_Titles" localSheetId="2">'Material Breakdown'!$6:$6</definedName>
  </definedNames>
  <calcPr fullCalcOnLoad="1"/>
</workbook>
</file>

<file path=xl/sharedStrings.xml><?xml version="1.0" encoding="utf-8"?>
<sst xmlns="http://schemas.openxmlformats.org/spreadsheetml/2006/main" count="2397" uniqueCount="626">
  <si>
    <t>Bld. Part</t>
  </si>
  <si>
    <t>Tra
de</t>
  </si>
  <si>
    <t>Item No</t>
  </si>
  <si>
    <t>Sub No</t>
  </si>
  <si>
    <t>Description</t>
  </si>
  <si>
    <t>Unit</t>
  </si>
  <si>
    <t>Qty</t>
  </si>
  <si>
    <t>Unit rate</t>
  </si>
  <si>
    <t xml:space="preserve"> Amount</t>
  </si>
  <si>
    <t xml:space="preserve">SPECIFICATION  AND BILL OF QUANTITIES </t>
  </si>
  <si>
    <t xml:space="preserve">  </t>
  </si>
  <si>
    <t>A</t>
  </si>
  <si>
    <t>A.  SUBSTRUCTURE</t>
  </si>
  <si>
    <t>Excavation and Earth Works</t>
  </si>
  <si>
    <t>Birr</t>
  </si>
  <si>
    <t>Concrete Works</t>
  </si>
  <si>
    <t>Masonry works</t>
  </si>
  <si>
    <t>Total A</t>
  </si>
  <si>
    <t>B</t>
  </si>
  <si>
    <t>B.  SUPER STRUCTURE</t>
  </si>
  <si>
    <t>Concrete Work</t>
  </si>
  <si>
    <t>Block Work</t>
  </si>
  <si>
    <t>Roofing</t>
  </si>
  <si>
    <t>Carpentry &amp; Joinery</t>
  </si>
  <si>
    <t>Metal Works</t>
  </si>
  <si>
    <t>Finishing Works</t>
  </si>
  <si>
    <t>Glazing</t>
  </si>
  <si>
    <t>Painting</t>
  </si>
  <si>
    <t>Sanitary  Installation</t>
  </si>
  <si>
    <t>Electrical Installation</t>
  </si>
  <si>
    <t>T</t>
  </si>
  <si>
    <t>Total B</t>
  </si>
  <si>
    <t>SUBTOTAL A + B</t>
  </si>
  <si>
    <t>SUB STRUCTURE</t>
  </si>
  <si>
    <t>EXCAVATION &amp; EARTH WORK</t>
  </si>
  <si>
    <t>m²</t>
  </si>
  <si>
    <t>m³</t>
  </si>
  <si>
    <t>TOTAL CARRIED TO SUMMARY</t>
  </si>
  <si>
    <t>CONCRETE WORK</t>
  </si>
  <si>
    <t>50 mm lean concrete quality C-5, 150 kg of cement/m³:</t>
  </si>
  <si>
    <t xml:space="preserve">Under masonry </t>
  </si>
  <si>
    <t xml:space="preserve">In grade beams </t>
  </si>
  <si>
    <t xml:space="preserve">In 100 mm thick floor slab </t>
  </si>
  <si>
    <t>FORMWORK</t>
  </si>
  <si>
    <t>Provide, cut and fix in position sawn zigba wood or steel formwork which ever appropriate, including all necessary supports according Ethiopian Standards (BS)</t>
  </si>
  <si>
    <t xml:space="preserve">To grade beams </t>
  </si>
  <si>
    <t>Dia 6 mm deformed bar</t>
  </si>
  <si>
    <t>kg</t>
  </si>
  <si>
    <t>Dia 8 mm deformed bar</t>
  </si>
  <si>
    <t>Dia 12 mm deformed bar</t>
  </si>
  <si>
    <t>MASONRY WORK</t>
  </si>
  <si>
    <t>SUPER STRUCTURE</t>
  </si>
  <si>
    <t>Reinforced concrete quality C-25, minimum cement content of 360 kg of cement/m³  filled in to form work and vibrated around rod reinforcement (formwork and reinforcement measured separately)</t>
  </si>
  <si>
    <t>In elevation columns</t>
  </si>
  <si>
    <t>In roof beams</t>
  </si>
  <si>
    <t>For elevation columns</t>
  </si>
  <si>
    <t>For roof beams</t>
  </si>
  <si>
    <t>STEEL REINFORCEMENT</t>
  </si>
  <si>
    <t>Dia 6 mm plain bar</t>
  </si>
  <si>
    <t>Dia 10 mm deformed bar</t>
  </si>
  <si>
    <t>BLOCK WORK</t>
  </si>
  <si>
    <t>Class C 200 mm thick HCB wall which can satisfy the desinged strength, bedded in cement mortar (1:3).</t>
  </si>
  <si>
    <t>Ditto, but 100 mm thick.</t>
  </si>
  <si>
    <t>ROOFING</t>
  </si>
  <si>
    <t>m</t>
  </si>
  <si>
    <t xml:space="preserve">CARPENTRY AND JOINERY </t>
  </si>
  <si>
    <t>WOOD STRUCTURE</t>
  </si>
  <si>
    <t>CEILINGS WORKS</t>
  </si>
  <si>
    <t>0.8 mm thick ribbed sheet metal soffit cover</t>
  </si>
  <si>
    <t>FACIA BOARD</t>
  </si>
  <si>
    <t>Flush wooden door</t>
  </si>
  <si>
    <t>Supply, delivery and fix doors manufactured 4mm play wood and stifened properly, all as per the engineers approval, door schedule and detail drawing.The frames shall be designed and fixed to the plastering to allow the load on it.</t>
  </si>
  <si>
    <t>Type D1: Size 900 x 2100 mm</t>
  </si>
  <si>
    <t>No.</t>
  </si>
  <si>
    <t>METAL WORKS</t>
  </si>
  <si>
    <t>DOORS</t>
  </si>
  <si>
    <t>Type D2: Size 700 x 2100 mm</t>
  </si>
  <si>
    <t>WINDOWS</t>
  </si>
  <si>
    <t>Type W1: 1000 x 1200 mm</t>
  </si>
  <si>
    <t>Type W2: 1800 x 1200 mm</t>
  </si>
  <si>
    <t>FINISHING WORKS</t>
  </si>
  <si>
    <t>To internal wall surface</t>
  </si>
  <si>
    <t>To external wall surface</t>
  </si>
  <si>
    <t>Flooring</t>
  </si>
  <si>
    <t>PVC floor tille, 2 mm thick</t>
  </si>
  <si>
    <t>PVC skirting, 60 mm wide</t>
  </si>
  <si>
    <t>Terrazo floor tille, 20 mm thick. Price shall include supply, 30 mm cement screeding and other preparations</t>
  </si>
  <si>
    <t>Terrazo skirting stuck to wall, 100 mm wide. Price shall include supply, pre-cleaning and other preparation of the surface</t>
  </si>
  <si>
    <t>Wall tille</t>
  </si>
  <si>
    <t>6 mm thick white ceramic wall tile</t>
  </si>
  <si>
    <t>PAVING</t>
  </si>
  <si>
    <t>GLAZING</t>
  </si>
  <si>
    <t>Supply and fix 4 mm thick clear sheet glass to metal beads and puttied with approved quality of putty.</t>
  </si>
  <si>
    <t>PAINTING</t>
  </si>
  <si>
    <t>to internal wall surfaces flushed finished</t>
  </si>
  <si>
    <t>to external plastered wall surfaces.</t>
  </si>
  <si>
    <t>to chip wooden ceiling</t>
  </si>
  <si>
    <t>SANITARY INSTALLATION</t>
  </si>
  <si>
    <t>SANITARY EQUIPMENT (FIXTURES)</t>
  </si>
  <si>
    <t>WATER SUPPLY PIPES AND VALVES</t>
  </si>
  <si>
    <t>Water pipes shall be galvanized steel and be fixed to, walls, beams or etc. Unit price shall include all assistance civil works and necessary fittings such as T- bends and Y- reducers. Gate valves and other necessary valves shall be fixed properly as  per</t>
  </si>
  <si>
    <t>Dia. 15 mm</t>
  </si>
  <si>
    <t>VALVES</t>
  </si>
  <si>
    <t xml:space="preserve">Dia. 15 mm                                                    </t>
  </si>
  <si>
    <t>WASTE, VENT AND RAIN WATER PIPES AND ACCESSORIES</t>
  </si>
  <si>
    <t>All domestic waste, vent and storm water pipe lines shall be PVC pipes and provided with a minimum slope of 2% towards the outlet. All PVC pipes and necessary fittings shall be standard quality and be free from damage during storage, construction and etc.</t>
  </si>
  <si>
    <t>Dia. 50  mm</t>
  </si>
  <si>
    <t>Dia. 110  mm</t>
  </si>
  <si>
    <t>Supply and lay approved quality storm water galvanized sheet metal down pipes according to where shown on the drawing.
Price shall include all the necessary connecting pieces.</t>
  </si>
  <si>
    <t>Dia. 100 x 80 mm</t>
  </si>
  <si>
    <t xml:space="preserve">ELLECTRICAL INSTALLATION WORKS </t>
  </si>
  <si>
    <t>SUPPLY AND INSTALL</t>
  </si>
  <si>
    <t>CONDUITS AND PIPES</t>
  </si>
  <si>
    <t>DISTRIBUTION BOARDS</t>
  </si>
  <si>
    <t>LIGHT POINTS</t>
  </si>
  <si>
    <t>Switches</t>
  </si>
  <si>
    <t>SOCKET OUTLET POINTS</t>
  </si>
  <si>
    <t>Supply and install 10-16A/1P socket outlet points fed through PVC insulated conductors of 3 x 2.5 mm² inside PVC conduits of 16 mm diameter including junction boxes with covers, and insulating screw cap connectors all for flush mounting.</t>
  </si>
  <si>
    <t>SOCKET OUTLETS</t>
  </si>
  <si>
    <t>LIGHT FITTINGS AND LAMPS</t>
  </si>
  <si>
    <t>Material breack down</t>
  </si>
  <si>
    <t>Labour</t>
  </si>
  <si>
    <t>hrs</t>
  </si>
  <si>
    <t>Daily wage</t>
  </si>
  <si>
    <t>Total amount</t>
  </si>
  <si>
    <t>Material</t>
  </si>
  <si>
    <t>qty</t>
  </si>
  <si>
    <t>Equipment</t>
  </si>
  <si>
    <t>Direct unit rate</t>
  </si>
  <si>
    <t>Daily laborer</t>
  </si>
  <si>
    <t>Gang leader</t>
  </si>
  <si>
    <t>Fuel (lit)</t>
  </si>
  <si>
    <t>Plate compactor</t>
  </si>
  <si>
    <t>SE Operator</t>
  </si>
  <si>
    <t>Basaltic stone (m3)</t>
  </si>
  <si>
    <t>Mason</t>
  </si>
  <si>
    <t>Cement (qtl)</t>
  </si>
  <si>
    <t>Stationary mixer 350 lit</t>
  </si>
  <si>
    <t>Crushed aggregate, 20 mm (m3)</t>
  </si>
  <si>
    <t>Sand (m3)</t>
  </si>
  <si>
    <t>Vibrator</t>
  </si>
  <si>
    <t>Panel (m2hrs)</t>
  </si>
  <si>
    <t>Carpenter</t>
  </si>
  <si>
    <t>Eucalyptus diam 8 cm (ml)</t>
  </si>
  <si>
    <t>Assistant carpenter</t>
  </si>
  <si>
    <t>Eucalyptus Diam. 10 cm (ml)</t>
  </si>
  <si>
    <t>Nails (kg)</t>
  </si>
  <si>
    <t>Mould Oil (lit)</t>
  </si>
  <si>
    <t>Timber 2.5 cm thick (m3)</t>
  </si>
  <si>
    <t>Rebar diam 6 mm (kg)</t>
  </si>
  <si>
    <t>Bar-bender</t>
  </si>
  <si>
    <t>black steel wire diam 1.5 mm (kg)</t>
  </si>
  <si>
    <t>Assistant bar-bender</t>
  </si>
  <si>
    <t>Rebar diam 8 mm (kg)</t>
  </si>
  <si>
    <t>Rebar diam 12 mm (kg)</t>
  </si>
  <si>
    <t>Tracheatic stone (m3)</t>
  </si>
  <si>
    <t>Assistant mason</t>
  </si>
  <si>
    <t>Rebar diam 10 mm (kg)</t>
  </si>
  <si>
    <t>HCB 20 cm (pcs)</t>
  </si>
  <si>
    <t>HCB 10 cm (pcs)</t>
  </si>
  <si>
    <t>G-30 CIS (pcs)</t>
  </si>
  <si>
    <t>Dome shaped nails (kg)</t>
  </si>
  <si>
    <t>Plastic washer (pcs)</t>
  </si>
  <si>
    <t>G-30 sheet metal Ridge cover (m2)</t>
  </si>
  <si>
    <t>Solder</t>
  </si>
  <si>
    <t>Screw (pcs)</t>
  </si>
  <si>
    <t>Fisher (pcs)</t>
  </si>
  <si>
    <t>Soldering lead (kg)</t>
  </si>
  <si>
    <t>Fixing bracket for gutter and down pipes (pcs)</t>
  </si>
  <si>
    <t>Antirust (gal)</t>
  </si>
  <si>
    <t>Synthetic paint (gal)</t>
  </si>
  <si>
    <t>Sawn timber purlin 50 x 70 mm (ml)</t>
  </si>
  <si>
    <t>Chip wood, thickness 8mm (m2)</t>
  </si>
  <si>
    <t>Ceiling batten 4x5 cm (ml)</t>
  </si>
  <si>
    <t>Corner list (ml)</t>
  </si>
  <si>
    <t>0.4 mm thick ribbed sheet metal (m2)</t>
  </si>
  <si>
    <t>ml</t>
  </si>
  <si>
    <t>Varnish (gal)</t>
  </si>
  <si>
    <t>Flush wooden door (m2)</t>
  </si>
  <si>
    <t>Painter</t>
  </si>
  <si>
    <t>Supply, delivery and fix doors and windows manufactured from  28 x 1 mm LTZ profile, all as per the engineers approval and window door schedule and detail drawing.The frames shall be designed and fixed to  the plastering to allow the  load on the door.</t>
  </si>
  <si>
    <t>Metal door (m2)</t>
  </si>
  <si>
    <t>Metal windows (m2)</t>
  </si>
  <si>
    <t>Plasterer</t>
  </si>
  <si>
    <t>PVC tile (m2)</t>
  </si>
  <si>
    <t>Tiller</t>
  </si>
  <si>
    <t>Adhesive (kg)</t>
  </si>
  <si>
    <t>PVC skirting (ml)</t>
  </si>
  <si>
    <t>CM-43 Glue (kg)</t>
  </si>
  <si>
    <t>Terrazzo tile (m2)</t>
  </si>
  <si>
    <t>Terrazzo skirting (ml)</t>
  </si>
  <si>
    <t>Ceramic tile (m2)</t>
  </si>
  <si>
    <t>White cement (Kg)</t>
  </si>
  <si>
    <t>Half concrete pipe diam 400 mm (ml)</t>
  </si>
  <si>
    <t>Red ash (m3)</t>
  </si>
  <si>
    <t>4 mm thick clear glass (m2)</t>
  </si>
  <si>
    <t>Glazer</t>
  </si>
  <si>
    <t>Putty glass (kg)</t>
  </si>
  <si>
    <t>Plastic paint (gal)</t>
  </si>
  <si>
    <t>Stucco (kg)</t>
  </si>
  <si>
    <t>Glue for stucco (animal glue) (kg)</t>
  </si>
  <si>
    <t>Plumber</t>
  </si>
  <si>
    <t>Tabor HWB, size 50 x 40 cm complete with faucets, smell trap and plug (pcs)</t>
  </si>
  <si>
    <t>Flexible pipe diam 15 mm (pcs)</t>
  </si>
  <si>
    <t>HWB fixing support (pcs)</t>
  </si>
  <si>
    <t>Rubber plug diam. 50 mm (pcs)</t>
  </si>
  <si>
    <t>Tabor WC complete with plastic seats, cover and low flush cistern (pcs)</t>
  </si>
  <si>
    <t>Tabor toilet paper holder 150 x 150 mm (pcs)</t>
  </si>
  <si>
    <t>Tabor soap holder 150 x 150 mm (pcs)</t>
  </si>
  <si>
    <t>Supply and fix Enameled cast iron shower unit, with chrome plated valves and shower head and other accessories.
Size: 700x700 mm</t>
  </si>
  <si>
    <t>Shower try (Enameled cast Iron, complete with all accessories and head, 700mm x 700 mm) (pcs)</t>
  </si>
  <si>
    <t>Chrome plated gate valve</t>
  </si>
  <si>
    <t>Supply and fix Kitchen double boul sink out of stainless steel, with chrome plated Mixing tape, complete with plug, chrome plated chain holder and other accessories.
Size: 1200x500 mm</t>
  </si>
  <si>
    <t>Kitchen sink (stainless steel, 1200mm x 500 mm) (pcs)</t>
  </si>
  <si>
    <t>Steel floor drain diam. 50 mm (pcs)</t>
  </si>
  <si>
    <t>Glass mirror complete with fixing screws, size 500 x 400 mm (pcs)</t>
  </si>
  <si>
    <t>Electrical drilling machine</t>
  </si>
  <si>
    <t>GS Pipe diam 15 mm (pcs)</t>
  </si>
  <si>
    <t>GS Elbow diam 15 mm (pcs)</t>
  </si>
  <si>
    <t>GS Tee diam 15 mm (pcs)</t>
  </si>
  <si>
    <t>Hemp (kg)</t>
  </si>
  <si>
    <t>Brass gate valve diam. 15 mm (pcs)</t>
  </si>
  <si>
    <t>GS Union diam. 15 mm (pcs)</t>
  </si>
  <si>
    <t>PVC pipe diam. 50 mm (ml)</t>
  </si>
  <si>
    <t>PVC elbow diam. 50 mm (pcs)</t>
  </si>
  <si>
    <t>PVC reducer diam. 110/50 mm (pcs)</t>
  </si>
  <si>
    <t>CM-43 glue (kg)</t>
  </si>
  <si>
    <t>PVC pipe diam. 110 mm (ml)</t>
  </si>
  <si>
    <t>PVC tee diam. 110 mm (pcs)</t>
  </si>
  <si>
    <t>stationary mixer 350 lit</t>
  </si>
  <si>
    <t>Electrician</t>
  </si>
  <si>
    <t>Condute diam 16 mm (pcs)</t>
  </si>
  <si>
    <t>PVC Clamps diam 16 mm (pcs)</t>
  </si>
  <si>
    <t>2.5 mm2 wire (ml)</t>
  </si>
  <si>
    <t>Surface mounting distribution board MDB1, in sheet steel enclosure with lockable door and with phase, neutral, earth bus-bars of 63A/3P and consisting of:-
1 pc ACB of  32A/3P
4 pcs ACB of  16A/1P
1 pc ACB of  10A/1P</t>
  </si>
  <si>
    <t>Junction box diam 65 mm</t>
  </si>
  <si>
    <t>Connectors diam 5mm (pcs)</t>
  </si>
  <si>
    <t>Single switch (pcs)</t>
  </si>
  <si>
    <t>Two-way switches (pcs)</t>
  </si>
  <si>
    <t>Socket (pcs)</t>
  </si>
  <si>
    <t>Fluorescent lamp with holders and balustrade TMW 012/236w (pcs)</t>
  </si>
  <si>
    <t>E-27 type Incandescent Lamps with holder (pcs)</t>
  </si>
  <si>
    <t>RESOURCE REQUIREMENT SHEET</t>
  </si>
  <si>
    <t>m2</t>
  </si>
  <si>
    <t>LABOUR</t>
  </si>
  <si>
    <t>MATERIAL</t>
  </si>
  <si>
    <t>EQUIPMENT</t>
  </si>
  <si>
    <t>S/No.</t>
  </si>
  <si>
    <t>TRADE</t>
  </si>
  <si>
    <t>LABOUR HOURS</t>
  </si>
  <si>
    <t>Labor wage per day</t>
  </si>
  <si>
    <t>Total Amount</t>
  </si>
  <si>
    <t>TYPE</t>
  </si>
  <si>
    <t>UNIT MEASURE</t>
  </si>
  <si>
    <t>QUANTITY</t>
  </si>
  <si>
    <t>MACHINE HOUR</t>
  </si>
  <si>
    <t>Hourly rate</t>
  </si>
  <si>
    <t>HOP</t>
  </si>
  <si>
    <t>M2</t>
  </si>
  <si>
    <t>Gal</t>
  </si>
  <si>
    <t>Small tools and equipment</t>
  </si>
  <si>
    <t>black steel wire diam 1.5 mm (KG)</t>
  </si>
  <si>
    <t>Kg</t>
  </si>
  <si>
    <t>Pcs</t>
  </si>
  <si>
    <t>Qtl</t>
  </si>
  <si>
    <t>hEMP (kg)</t>
  </si>
  <si>
    <t>m2hrs</t>
  </si>
  <si>
    <t>gal</t>
  </si>
  <si>
    <t>m3</t>
  </si>
  <si>
    <t>Varnish (Gal)</t>
  </si>
  <si>
    <t>LP</t>
  </si>
  <si>
    <t>lit</t>
  </si>
  <si>
    <t>Legend</t>
  </si>
  <si>
    <t>Head office purchase</t>
  </si>
  <si>
    <t>Local purchase</t>
  </si>
  <si>
    <t>Class C 200 mm thick HCB wall which can satisfy the designed strength, bedded in cement mortar (1:3).</t>
  </si>
  <si>
    <t>Supply, delivery and fix doors manufactured 4mm play wood and stiffened properly, all as per the engineers approval, door schedule and detail drawing. The frames shall be designed and fixed to the plastering to allow the load on it.</t>
  </si>
  <si>
    <t>Supply, delivery and fix doors and windows manufactured from 28 x 1 mm LTZ profile, all as per the engineers approval and window door schedule and detail drawing. The frames shall be designed and fixed to  the plastering to allow the  load on the door.</t>
  </si>
  <si>
    <t>PVC floor tile, 2 mm thick</t>
  </si>
  <si>
    <t>Terrazzo floor tile, 20 mm thick. Price shall include supply, 30 mm cement screeding and other preparations</t>
  </si>
  <si>
    <t>Terrazzo skirting stuck to wall, 100 mm wide. Price shall include supply, pre-cleaning and other preparation of the surface</t>
  </si>
  <si>
    <t>Wall tile</t>
  </si>
  <si>
    <t>Project Residencial building</t>
  </si>
  <si>
    <t>Project: Residence 1</t>
  </si>
  <si>
    <t>Site clearing</t>
  </si>
  <si>
    <t>Trench excavation</t>
  </si>
  <si>
    <t xml:space="preserve">Lean concrete Under masonry </t>
  </si>
  <si>
    <t xml:space="preserve">C-25 concrete In grade beams </t>
  </si>
  <si>
    <t xml:space="preserve">C-25 concrete In 100 mm thick floor slab </t>
  </si>
  <si>
    <t>Form work To grade beams, errection</t>
  </si>
  <si>
    <t>To grade beams, errection</t>
  </si>
  <si>
    <t>To grade beams, dismantling</t>
  </si>
  <si>
    <t>Form work To grade beams, dismantling</t>
  </si>
  <si>
    <t>Task</t>
  </si>
  <si>
    <r>
      <t>Backfill</t>
    </r>
    <r>
      <rPr>
        <sz val="10"/>
        <color indexed="12"/>
        <rFont val="Lucida Sans"/>
        <family val="2"/>
      </rPr>
      <t xml:space="preserve"> under hard core</t>
    </r>
  </si>
  <si>
    <r>
      <t xml:space="preserve">250 mm thick </t>
    </r>
    <r>
      <rPr>
        <b/>
        <sz val="10"/>
        <color indexed="12"/>
        <rFont val="Lucida Sans"/>
        <family val="2"/>
      </rPr>
      <t>basaltic stone</t>
    </r>
    <r>
      <rPr>
        <sz val="10"/>
        <color indexed="12"/>
        <rFont val="Lucida Sans"/>
        <family val="2"/>
      </rPr>
      <t xml:space="preserve"> </t>
    </r>
    <r>
      <rPr>
        <b/>
        <sz val="10"/>
        <color indexed="12"/>
        <rFont val="Lucida Sans"/>
        <family val="2"/>
      </rPr>
      <t>hardcore</t>
    </r>
    <r>
      <rPr>
        <sz val="10"/>
        <color indexed="12"/>
        <rFont val="Lucida Sans"/>
        <family val="2"/>
      </rPr>
      <t xml:space="preserve"> </t>
    </r>
  </si>
  <si>
    <t>Duration</t>
  </si>
  <si>
    <t>ID No</t>
  </si>
  <si>
    <r>
      <t>400 mm thick</t>
    </r>
    <r>
      <rPr>
        <b/>
        <sz val="10"/>
        <color indexed="12"/>
        <rFont val="Lucida Sans"/>
        <family val="2"/>
      </rPr>
      <t xml:space="preserve"> basaltic stone masonry</t>
    </r>
    <r>
      <rPr>
        <sz val="10"/>
        <color indexed="12"/>
        <rFont val="Lucida Sans"/>
        <family val="2"/>
      </rPr>
      <t xml:space="preserve">, </t>
    </r>
    <r>
      <rPr>
        <b/>
        <sz val="10"/>
        <color indexed="12"/>
        <rFont val="Lucida Sans"/>
        <family val="2"/>
      </rPr>
      <t>below</t>
    </r>
    <r>
      <rPr>
        <sz val="10"/>
        <color indexed="12"/>
        <rFont val="Lucida Sans"/>
        <family val="2"/>
      </rPr>
      <t xml:space="preserve"> ground surface.</t>
    </r>
  </si>
  <si>
    <r>
      <t xml:space="preserve">400 mm thick </t>
    </r>
    <r>
      <rPr>
        <b/>
        <sz val="10"/>
        <color indexed="12"/>
        <rFont val="Lucida Sans"/>
        <family val="2"/>
      </rPr>
      <t>basaltic stone masonry</t>
    </r>
    <r>
      <rPr>
        <sz val="10"/>
        <color indexed="12"/>
        <rFont val="Lucida Sans"/>
        <family val="2"/>
      </rPr>
      <t xml:space="preserve">, </t>
    </r>
    <r>
      <rPr>
        <b/>
        <sz val="10"/>
        <color indexed="12"/>
        <rFont val="Lucida Sans"/>
        <family val="2"/>
      </rPr>
      <t>above</t>
    </r>
    <r>
      <rPr>
        <sz val="10"/>
        <color indexed="12"/>
        <rFont val="Lucida Sans"/>
        <family val="2"/>
      </rPr>
      <t xml:space="preserve"> ground surface.</t>
    </r>
  </si>
  <si>
    <t>C-25 In elevation columns</t>
  </si>
  <si>
    <t>C-25 In roof beams</t>
  </si>
  <si>
    <t>Form work For elevation columns</t>
  </si>
  <si>
    <t>Class C, 200 mm thick HCB wall</t>
  </si>
  <si>
    <t>Class C, 100 mm thick HCB wall</t>
  </si>
  <si>
    <r>
      <t>Roof cover,</t>
    </r>
    <r>
      <rPr>
        <sz val="10"/>
        <color indexed="12"/>
        <rFont val="Lucida Sans"/>
        <family val="2"/>
      </rPr>
      <t xml:space="preserve"> USG 30</t>
    </r>
  </si>
  <si>
    <r>
      <t xml:space="preserve">G-30 galvanized </t>
    </r>
    <r>
      <rPr>
        <b/>
        <sz val="10"/>
        <color indexed="12"/>
        <rFont val="Lucida Sans"/>
        <family val="2"/>
      </rPr>
      <t>flat metal sheet gutter</t>
    </r>
  </si>
  <si>
    <r>
      <t xml:space="preserve">Eucalyptus wood </t>
    </r>
    <r>
      <rPr>
        <sz val="10"/>
        <color indexed="12"/>
        <rFont val="Lucida Sans"/>
        <family val="2"/>
      </rPr>
      <t xml:space="preserve">Horizontal truss members. </t>
    </r>
    <r>
      <rPr>
        <b/>
        <sz val="10"/>
        <color indexed="12"/>
        <rFont val="Lucida Sans"/>
        <family val="2"/>
      </rPr>
      <t>Size dia.100 mm</t>
    </r>
  </si>
  <si>
    <r>
      <t xml:space="preserve">Eucalyptus wood </t>
    </r>
    <r>
      <rPr>
        <sz val="10"/>
        <color indexed="12"/>
        <rFont val="Lucida Sans"/>
        <family val="2"/>
      </rPr>
      <t>vertical &amp; diagonal truss members.</t>
    </r>
    <r>
      <rPr>
        <b/>
        <sz val="10"/>
        <color indexed="12"/>
        <rFont val="Lucida Sans"/>
        <family val="2"/>
      </rPr>
      <t>Size dia.80 mm</t>
    </r>
  </si>
  <si>
    <r>
      <t xml:space="preserve">Sawn zigba wood </t>
    </r>
    <r>
      <rPr>
        <sz val="10"/>
        <color indexed="12"/>
        <rFont val="Lucida Sans"/>
        <family val="2"/>
      </rPr>
      <t xml:space="preserve">roof purlins placed at c/c 900 mm. </t>
    </r>
    <r>
      <rPr>
        <b/>
        <sz val="10"/>
        <color indexed="12"/>
        <rFont val="Lucida Sans"/>
        <family val="2"/>
      </rPr>
      <t>Size 50 x 70 mm</t>
    </r>
  </si>
  <si>
    <r>
      <t xml:space="preserve">8 mm thick </t>
    </r>
    <r>
      <rPr>
        <b/>
        <sz val="10"/>
        <color indexed="12"/>
        <rFont val="Lucida Sans"/>
        <family val="2"/>
      </rPr>
      <t>chip wood ceilings</t>
    </r>
    <r>
      <rPr>
        <sz val="10"/>
        <color indexed="12"/>
        <rFont val="Lucida Sans"/>
        <family val="2"/>
      </rPr>
      <t xml:space="preserve"> </t>
    </r>
  </si>
  <si>
    <r>
      <t xml:space="preserve">Tid wood </t>
    </r>
    <r>
      <rPr>
        <b/>
        <sz val="10"/>
        <color indexed="12"/>
        <rFont val="Lucida Sans"/>
        <family val="2"/>
      </rPr>
      <t>Facia board</t>
    </r>
  </si>
  <si>
    <t>FD Type D1: Size 900 x 2100 mm</t>
  </si>
  <si>
    <t>MD Type D1: Size 900 x 2100 mm</t>
  </si>
  <si>
    <t>MD Type D2: Size 700 x 2100 mm</t>
  </si>
  <si>
    <t>MW Type W1: 1000 x 1200 mm</t>
  </si>
  <si>
    <t>MW Type W2: 1800 x 1200 mm</t>
  </si>
  <si>
    <t>3 coats of Plaster To internal wall surface</t>
  </si>
  <si>
    <t>3 coats of Plaster To external wall surface</t>
  </si>
  <si>
    <r>
      <t xml:space="preserve">Two coats of </t>
    </r>
    <r>
      <rPr>
        <b/>
        <sz val="10"/>
        <color indexed="12"/>
        <rFont val="Lucida Sans"/>
        <family val="2"/>
      </rPr>
      <t>plastering</t>
    </r>
  </si>
  <si>
    <r>
      <t xml:space="preserve">48 mm thick trowel finished </t>
    </r>
    <r>
      <rPr>
        <b/>
        <sz val="10"/>
        <color indexed="12"/>
        <rFont val="Lucida Sans"/>
        <family val="2"/>
      </rPr>
      <t>cement sand screed</t>
    </r>
    <r>
      <rPr>
        <sz val="10"/>
        <color indexed="12"/>
        <rFont val="Lucida Sans"/>
        <family val="2"/>
      </rPr>
      <t xml:space="preserve"> (1:3) to receive PVC tile</t>
    </r>
  </si>
  <si>
    <t>Terrazzo floor tile, 20 mm thick.</t>
  </si>
  <si>
    <t xml:space="preserve">Terrazzo skirting stuck to wall, 100 mm wide. </t>
  </si>
  <si>
    <r>
      <t xml:space="preserve">600 mm wide </t>
    </r>
    <r>
      <rPr>
        <b/>
        <sz val="10"/>
        <color indexed="12"/>
        <rFont val="Lucida Sans"/>
        <family val="2"/>
      </rPr>
      <t>stone pavement</t>
    </r>
    <r>
      <rPr>
        <sz val="10"/>
        <color indexed="12"/>
        <rFont val="Lucida Sans"/>
        <family val="2"/>
      </rPr>
      <t xml:space="preserve"> around the building.</t>
    </r>
  </si>
  <si>
    <t>Plastic paint to internal wall surfaces flushed finished</t>
  </si>
  <si>
    <t>Plastick paint to external plastered wall surfaces.</t>
  </si>
  <si>
    <t>Plastic paint to chip wooden ceiling</t>
  </si>
  <si>
    <t>HWB</t>
  </si>
  <si>
    <t>WC</t>
  </si>
  <si>
    <r>
      <t>T</t>
    </r>
    <r>
      <rPr>
        <b/>
        <sz val="10"/>
        <color indexed="12"/>
        <rFont val="Lucida Sans"/>
        <family val="2"/>
      </rPr>
      <t>oilet paper holder</t>
    </r>
    <r>
      <rPr>
        <sz val="10"/>
        <color indexed="12"/>
        <rFont val="Lucida Sans"/>
        <family val="2"/>
      </rPr>
      <t xml:space="preserve"> </t>
    </r>
  </si>
  <si>
    <r>
      <t>S</t>
    </r>
    <r>
      <rPr>
        <b/>
        <sz val="10"/>
        <color indexed="12"/>
        <rFont val="Lucida Sans"/>
        <family val="2"/>
      </rPr>
      <t>oap holder</t>
    </r>
    <r>
      <rPr>
        <sz val="10"/>
        <color indexed="12"/>
        <rFont val="Lucida Sans"/>
        <family val="2"/>
      </rPr>
      <t xml:space="preserve"> </t>
    </r>
  </si>
  <si>
    <t>Enameled cast iron shower unit</t>
  </si>
  <si>
    <r>
      <rPr>
        <b/>
        <sz val="10"/>
        <color indexed="12"/>
        <rFont val="Lucida Sans"/>
        <family val="2"/>
      </rPr>
      <t>Single boul</t>
    </r>
    <r>
      <rPr>
        <sz val="10"/>
        <color indexed="12"/>
        <rFont val="Lucida Sans"/>
        <family val="2"/>
      </rPr>
      <t xml:space="preserve"> </t>
    </r>
    <r>
      <rPr>
        <b/>
        <sz val="10"/>
        <color indexed="12"/>
        <rFont val="Lucida Sans"/>
        <family val="2"/>
      </rPr>
      <t xml:space="preserve">sink </t>
    </r>
    <r>
      <rPr>
        <sz val="10"/>
        <color indexed="12"/>
        <rFont val="Lucida Sans"/>
        <family val="2"/>
      </rPr>
      <t xml:space="preserve">out of stainless steel, </t>
    </r>
  </si>
  <si>
    <r>
      <rPr>
        <b/>
        <sz val="10"/>
        <color indexed="12"/>
        <rFont val="Lucida Sans"/>
        <family val="2"/>
      </rPr>
      <t>floor drains</t>
    </r>
    <r>
      <rPr>
        <sz val="10"/>
        <color indexed="12"/>
        <rFont val="Lucida Sans"/>
        <family val="2"/>
      </rPr>
      <t xml:space="preserve"> , Size: - Dia. 50 mm</t>
    </r>
  </si>
  <si>
    <t>Glass mirror</t>
  </si>
  <si>
    <t>GS Pipe Dia. 15 mm</t>
  </si>
  <si>
    <t>PVC Pipe Dia. 50  mm</t>
  </si>
  <si>
    <t>PVC Pipe Dia. 110  mm</t>
  </si>
  <si>
    <t xml:space="preserve">Gate valve Dia. 15 mm                                                    </t>
  </si>
  <si>
    <t>Down pipe, G-28: 100 x 80 mm</t>
  </si>
  <si>
    <r>
      <t>Manhole,</t>
    </r>
    <r>
      <rPr>
        <sz val="10"/>
        <color indexed="12"/>
        <rFont val="Lucida Sans"/>
        <family val="2"/>
      </rPr>
      <t xml:space="preserve"> Size: 600 x 600 x 700 mm inner diameter</t>
    </r>
  </si>
  <si>
    <r>
      <t xml:space="preserve">Flush mounting </t>
    </r>
    <r>
      <rPr>
        <b/>
        <sz val="10"/>
        <color indexed="12"/>
        <rFont val="Lucida Sans"/>
        <family val="2"/>
      </rPr>
      <t>distribution board MDB1</t>
    </r>
  </si>
  <si>
    <t>single switch</t>
  </si>
  <si>
    <t>two-way switch</t>
  </si>
  <si>
    <t>socket outlet points</t>
  </si>
  <si>
    <r>
      <rPr>
        <b/>
        <sz val="10"/>
        <color indexed="12"/>
        <rFont val="Lucida Sans"/>
        <family val="2"/>
      </rPr>
      <t>socket outlet</t>
    </r>
    <r>
      <rPr>
        <sz val="10"/>
        <color indexed="12"/>
        <rFont val="Lucida Sans"/>
        <family val="2"/>
      </rPr>
      <t xml:space="preserve"> of 10A/1P, </t>
    </r>
  </si>
  <si>
    <r>
      <t>Fluorescent fitting</t>
    </r>
    <r>
      <rPr>
        <sz val="10"/>
        <color indexed="12"/>
        <rFont val="Lucida Sans"/>
        <family val="2"/>
      </rPr>
      <t xml:space="preserve"> type</t>
    </r>
  </si>
  <si>
    <t>Incandescent fitting</t>
  </si>
  <si>
    <t>Targets</t>
  </si>
  <si>
    <t>Project start time</t>
  </si>
  <si>
    <t>Project Duration</t>
  </si>
  <si>
    <t>Project finish date</t>
  </si>
  <si>
    <t>Working days per week</t>
  </si>
  <si>
    <t>6 days</t>
  </si>
  <si>
    <t>Form work For roof beams, errection</t>
  </si>
  <si>
    <t>Form work For roof beams, dismantling</t>
  </si>
  <si>
    <t>For roof beams, errection</t>
  </si>
  <si>
    <t>For roof beams, dismantling</t>
  </si>
  <si>
    <t>Site handover</t>
  </si>
  <si>
    <t>Project completion</t>
  </si>
  <si>
    <r>
      <t xml:space="preserve">flush mounted </t>
    </r>
    <r>
      <rPr>
        <b/>
        <sz val="10"/>
        <color indexed="12"/>
        <rFont val="Lucida Sans"/>
        <family val="2"/>
      </rPr>
      <t>light points</t>
    </r>
  </si>
  <si>
    <t>25,26</t>
  </si>
  <si>
    <t>23,30</t>
  </si>
  <si>
    <t>36,39</t>
  </si>
  <si>
    <t>21,22</t>
  </si>
  <si>
    <t>4 mm thick clear glass</t>
  </si>
  <si>
    <t>47,48,49</t>
  </si>
  <si>
    <t>39,47,48,49</t>
  </si>
  <si>
    <r>
      <t xml:space="preserve">Supply and install </t>
    </r>
    <r>
      <rPr>
        <b/>
        <sz val="10"/>
        <color indexed="12"/>
        <rFont val="Lucida Sans"/>
        <family val="2"/>
      </rPr>
      <t>PVC conduit</t>
    </r>
    <r>
      <rPr>
        <sz val="10"/>
        <color indexed="12"/>
        <rFont val="Lucida Sans"/>
        <family val="2"/>
      </rPr>
      <t xml:space="preserve"> of 36 mm diameter</t>
    </r>
  </si>
  <si>
    <t>46,49</t>
  </si>
  <si>
    <t>Remark</t>
  </si>
  <si>
    <t>Site office</t>
  </si>
  <si>
    <t>Project manager</t>
  </si>
  <si>
    <t>birr/mon</t>
  </si>
  <si>
    <t>office and site engineers</t>
  </si>
  <si>
    <t>Car for service</t>
  </si>
  <si>
    <t>Surface mounting distribution board MDB1,</t>
  </si>
  <si>
    <t>4,9</t>
  </si>
  <si>
    <t>Estimated Qty</t>
  </si>
  <si>
    <t>Progress</t>
  </si>
  <si>
    <t xml:space="preserve">dl </t>
  </si>
  <si>
    <t>Resource</t>
  </si>
  <si>
    <t>Data Date</t>
  </si>
  <si>
    <t>Actual Start Date</t>
  </si>
  <si>
    <t>dl,cem,san,grav,mix,mas</t>
  </si>
  <si>
    <t>Planning unit</t>
  </si>
  <si>
    <t>Days</t>
  </si>
  <si>
    <t>Predecessor</t>
  </si>
  <si>
    <t>EEPCO should remove the pole before site clearing work is started</t>
  </si>
  <si>
    <t>Plastic paint to external plastered wall surfaces.</t>
  </si>
  <si>
    <t>Indirect costs</t>
  </si>
  <si>
    <t>other expenses</t>
  </si>
  <si>
    <t>calendar days</t>
  </si>
  <si>
    <r>
      <t>Backfill</t>
    </r>
    <r>
      <rPr>
        <sz val="10"/>
        <rFont val="Lucida Sans"/>
        <family val="2"/>
      </rPr>
      <t xml:space="preserve"> under hard core</t>
    </r>
  </si>
  <si>
    <r>
      <t xml:space="preserve">250 mm thick </t>
    </r>
    <r>
      <rPr>
        <b/>
        <sz val="10"/>
        <rFont val="Lucida Sans"/>
        <family val="2"/>
      </rPr>
      <t>basaltic stone</t>
    </r>
    <r>
      <rPr>
        <sz val="10"/>
        <rFont val="Lucida Sans"/>
        <family val="2"/>
      </rPr>
      <t xml:space="preserve"> </t>
    </r>
    <r>
      <rPr>
        <b/>
        <sz val="10"/>
        <rFont val="Lucida Sans"/>
        <family val="2"/>
      </rPr>
      <t>hardcore</t>
    </r>
    <r>
      <rPr>
        <sz val="10"/>
        <rFont val="Lucida Sans"/>
        <family val="2"/>
      </rPr>
      <t xml:space="preserve"> </t>
    </r>
  </si>
  <si>
    <r>
      <t>400 mm thick</t>
    </r>
    <r>
      <rPr>
        <b/>
        <sz val="10"/>
        <rFont val="Lucida Sans"/>
        <family val="2"/>
      </rPr>
      <t xml:space="preserve"> basaltic stone masonry</t>
    </r>
    <r>
      <rPr>
        <sz val="10"/>
        <rFont val="Lucida Sans"/>
        <family val="2"/>
      </rPr>
      <t xml:space="preserve">, </t>
    </r>
    <r>
      <rPr>
        <b/>
        <sz val="10"/>
        <rFont val="Lucida Sans"/>
        <family val="2"/>
      </rPr>
      <t>below</t>
    </r>
    <r>
      <rPr>
        <sz val="10"/>
        <rFont val="Lucida Sans"/>
        <family val="2"/>
      </rPr>
      <t xml:space="preserve"> ground surface.</t>
    </r>
  </si>
  <si>
    <r>
      <t xml:space="preserve">400 mm thick </t>
    </r>
    <r>
      <rPr>
        <b/>
        <sz val="10"/>
        <rFont val="Lucida Sans"/>
        <family val="2"/>
      </rPr>
      <t>basaltic stone masonry</t>
    </r>
    <r>
      <rPr>
        <sz val="10"/>
        <rFont val="Lucida Sans"/>
        <family val="2"/>
      </rPr>
      <t xml:space="preserve">, </t>
    </r>
    <r>
      <rPr>
        <b/>
        <sz val="10"/>
        <rFont val="Lucida Sans"/>
        <family val="2"/>
      </rPr>
      <t>above</t>
    </r>
    <r>
      <rPr>
        <sz val="10"/>
        <rFont val="Lucida Sans"/>
        <family val="2"/>
      </rPr>
      <t xml:space="preserve"> ground surface.</t>
    </r>
  </si>
  <si>
    <r>
      <t>Roof cover,</t>
    </r>
    <r>
      <rPr>
        <sz val="10"/>
        <rFont val="Lucida Sans"/>
        <family val="2"/>
      </rPr>
      <t xml:space="preserve"> USG 30</t>
    </r>
  </si>
  <si>
    <r>
      <t xml:space="preserve">G-30 galvanized </t>
    </r>
    <r>
      <rPr>
        <b/>
        <sz val="10"/>
        <rFont val="Lucida Sans"/>
        <family val="2"/>
      </rPr>
      <t>flat metal sheet gutter</t>
    </r>
  </si>
  <si>
    <r>
      <t xml:space="preserve">Eucalyptus wood </t>
    </r>
    <r>
      <rPr>
        <sz val="10"/>
        <rFont val="Lucida Sans"/>
        <family val="2"/>
      </rPr>
      <t xml:space="preserve">Horizontal truss members. </t>
    </r>
    <r>
      <rPr>
        <b/>
        <sz val="10"/>
        <rFont val="Lucida Sans"/>
        <family val="2"/>
      </rPr>
      <t>Size dia.100 mm</t>
    </r>
  </si>
  <si>
    <r>
      <t xml:space="preserve">Eucalyptus wood </t>
    </r>
    <r>
      <rPr>
        <sz val="10"/>
        <rFont val="Lucida Sans"/>
        <family val="2"/>
      </rPr>
      <t>vertical &amp; diagonal truss members.</t>
    </r>
    <r>
      <rPr>
        <b/>
        <sz val="10"/>
        <rFont val="Lucida Sans"/>
        <family val="2"/>
      </rPr>
      <t xml:space="preserve"> Size dia.80 mm</t>
    </r>
  </si>
  <si>
    <r>
      <t xml:space="preserve">Sawn zigba wood </t>
    </r>
    <r>
      <rPr>
        <sz val="10"/>
        <rFont val="Lucida Sans"/>
        <family val="2"/>
      </rPr>
      <t xml:space="preserve">roof purlins placed at c/c 900 mm. </t>
    </r>
    <r>
      <rPr>
        <b/>
        <sz val="10"/>
        <rFont val="Lucida Sans"/>
        <family val="2"/>
      </rPr>
      <t>Size 50 x 70 mm</t>
    </r>
  </si>
  <si>
    <r>
      <t xml:space="preserve">8 mm thick </t>
    </r>
    <r>
      <rPr>
        <b/>
        <sz val="10"/>
        <rFont val="Lucida Sans"/>
        <family val="2"/>
      </rPr>
      <t>chip wood ceilings</t>
    </r>
    <r>
      <rPr>
        <sz val="10"/>
        <rFont val="Lucida Sans"/>
        <family val="2"/>
      </rPr>
      <t xml:space="preserve"> </t>
    </r>
  </si>
  <si>
    <r>
      <t xml:space="preserve">Tid wood </t>
    </r>
    <r>
      <rPr>
        <b/>
        <sz val="10"/>
        <rFont val="Lucida Sans"/>
        <family val="2"/>
      </rPr>
      <t>Facia board</t>
    </r>
  </si>
  <si>
    <r>
      <t xml:space="preserve">Two coats of </t>
    </r>
    <r>
      <rPr>
        <b/>
        <sz val="10"/>
        <rFont val="Lucida Sans"/>
        <family val="2"/>
      </rPr>
      <t>plastering</t>
    </r>
  </si>
  <si>
    <r>
      <t xml:space="preserve">48 mm thick trowel finished </t>
    </r>
    <r>
      <rPr>
        <b/>
        <sz val="10"/>
        <rFont val="Lucida Sans"/>
        <family val="2"/>
      </rPr>
      <t>cement sand screed</t>
    </r>
    <r>
      <rPr>
        <sz val="10"/>
        <rFont val="Lucida Sans"/>
        <family val="2"/>
      </rPr>
      <t xml:space="preserve"> (1:3) to receive PVC tile</t>
    </r>
  </si>
  <si>
    <r>
      <t xml:space="preserve">600 mm wide </t>
    </r>
    <r>
      <rPr>
        <b/>
        <sz val="10"/>
        <rFont val="Lucida Sans"/>
        <family val="2"/>
      </rPr>
      <t>stone pavement</t>
    </r>
    <r>
      <rPr>
        <sz val="10"/>
        <rFont val="Lucida Sans"/>
        <family val="2"/>
      </rPr>
      <t xml:space="preserve"> around the building.</t>
    </r>
  </si>
  <si>
    <r>
      <t>T</t>
    </r>
    <r>
      <rPr>
        <b/>
        <sz val="10"/>
        <rFont val="Lucida Sans"/>
        <family val="2"/>
      </rPr>
      <t>oilet paper holder</t>
    </r>
    <r>
      <rPr>
        <sz val="10"/>
        <rFont val="Lucida Sans"/>
        <family val="2"/>
      </rPr>
      <t xml:space="preserve"> </t>
    </r>
  </si>
  <si>
    <r>
      <t>S</t>
    </r>
    <r>
      <rPr>
        <b/>
        <sz val="10"/>
        <rFont val="Lucida Sans"/>
        <family val="2"/>
      </rPr>
      <t>oap holder</t>
    </r>
    <r>
      <rPr>
        <sz val="10"/>
        <rFont val="Lucida Sans"/>
        <family val="2"/>
      </rPr>
      <t xml:space="preserve"> </t>
    </r>
  </si>
  <si>
    <r>
      <rPr>
        <b/>
        <sz val="10"/>
        <rFont val="Lucida Sans"/>
        <family val="2"/>
      </rPr>
      <t>Single boul</t>
    </r>
    <r>
      <rPr>
        <sz val="10"/>
        <rFont val="Lucida Sans"/>
        <family val="2"/>
      </rPr>
      <t xml:space="preserve"> </t>
    </r>
    <r>
      <rPr>
        <b/>
        <sz val="10"/>
        <rFont val="Lucida Sans"/>
        <family val="2"/>
      </rPr>
      <t xml:space="preserve">sink </t>
    </r>
    <r>
      <rPr>
        <sz val="10"/>
        <rFont val="Lucida Sans"/>
        <family val="2"/>
      </rPr>
      <t xml:space="preserve">out of stainless steel, </t>
    </r>
  </si>
  <si>
    <r>
      <rPr>
        <b/>
        <sz val="10"/>
        <rFont val="Lucida Sans"/>
        <family val="2"/>
      </rPr>
      <t>floor drains</t>
    </r>
    <r>
      <rPr>
        <sz val="10"/>
        <rFont val="Lucida Sans"/>
        <family val="2"/>
      </rPr>
      <t xml:space="preserve"> , Size: - Dia. 50 mm</t>
    </r>
  </si>
  <si>
    <r>
      <t>Manhole,</t>
    </r>
    <r>
      <rPr>
        <sz val="10"/>
        <rFont val="Lucida Sans"/>
        <family val="2"/>
      </rPr>
      <t xml:space="preserve"> Size: 600 x 600 x 700 mm inner diameter</t>
    </r>
  </si>
  <si>
    <r>
      <t xml:space="preserve">Supply and install </t>
    </r>
    <r>
      <rPr>
        <b/>
        <sz val="10"/>
        <rFont val="Lucida Sans"/>
        <family val="2"/>
      </rPr>
      <t>PVC conduit</t>
    </r>
    <r>
      <rPr>
        <sz val="10"/>
        <rFont val="Lucida Sans"/>
        <family val="2"/>
      </rPr>
      <t xml:space="preserve"> of 36 mm diameter</t>
    </r>
  </si>
  <si>
    <r>
      <t xml:space="preserve">Flush mounting </t>
    </r>
    <r>
      <rPr>
        <b/>
        <sz val="10"/>
        <rFont val="Lucida Sans"/>
        <family val="2"/>
      </rPr>
      <t>distribution board MDB1</t>
    </r>
  </si>
  <si>
    <r>
      <t xml:space="preserve">flush mounted </t>
    </r>
    <r>
      <rPr>
        <b/>
        <sz val="10"/>
        <rFont val="Lucida Sans"/>
        <family val="2"/>
      </rPr>
      <t>light points</t>
    </r>
  </si>
  <si>
    <r>
      <rPr>
        <b/>
        <sz val="10"/>
        <rFont val="Lucida Sans"/>
        <family val="2"/>
      </rPr>
      <t>socket outlet</t>
    </r>
    <r>
      <rPr>
        <sz val="10"/>
        <rFont val="Lucida Sans"/>
        <family val="2"/>
      </rPr>
      <t xml:space="preserve"> of 10A/1P, </t>
    </r>
  </si>
  <si>
    <r>
      <t>Fluorescent fitting</t>
    </r>
    <r>
      <rPr>
        <sz val="10"/>
        <rFont val="Lucida Sans"/>
        <family val="2"/>
      </rPr>
      <t xml:space="preserve"> type</t>
    </r>
  </si>
  <si>
    <r>
      <t>Site clearing</t>
    </r>
    <r>
      <rPr>
        <sz val="10"/>
        <rFont val="Lucida Sans"/>
        <family val="2"/>
      </rPr>
      <t xml:space="preserve"> and removing of the top soil 200 mm thick</t>
    </r>
  </si>
  <si>
    <r>
      <t>Trench excavation</t>
    </r>
    <r>
      <rPr>
        <sz val="10"/>
        <rFont val="Lucida Sans"/>
        <family val="2"/>
      </rPr>
      <t xml:space="preserve"> in ordinary soil for masonry foundation to a depth of 1500 mm from reduced level.</t>
    </r>
  </si>
  <si>
    <r>
      <t>Backfill</t>
    </r>
    <r>
      <rPr>
        <sz val="10"/>
        <rFont val="Lucida Sans"/>
        <family val="2"/>
      </rPr>
      <t xml:space="preserve"> under hard core with selected material from the site, well moistured and compacted in layers not exceeding 200 mm thickness in every layer</t>
    </r>
  </si>
  <si>
    <r>
      <t xml:space="preserve">250 mm thick </t>
    </r>
    <r>
      <rPr>
        <b/>
        <sz val="10"/>
        <rFont val="Lucida Sans"/>
        <family val="2"/>
      </rPr>
      <t>basaltic stone</t>
    </r>
    <r>
      <rPr>
        <sz val="10"/>
        <rFont val="Lucida Sans"/>
        <family val="2"/>
      </rPr>
      <t xml:space="preserve"> </t>
    </r>
    <r>
      <rPr>
        <b/>
        <sz val="10"/>
        <rFont val="Lucida Sans"/>
        <family val="2"/>
      </rPr>
      <t>hardcore</t>
    </r>
    <r>
      <rPr>
        <sz val="10"/>
        <rFont val="Lucida Sans"/>
        <family val="2"/>
      </rPr>
      <t xml:space="preserve"> (delivered and prepared by the contractor) well consolidated and blinded with crushed stone.</t>
    </r>
  </si>
  <si>
    <r>
      <t>Reinforced concrete quality C-25,</t>
    </r>
    <r>
      <rPr>
        <sz val="10"/>
        <rFont val="Lucida Sans"/>
        <family val="2"/>
      </rPr>
      <t xml:space="preserve"> minimum cement content of 360 kg of cement/m³ filled in to form work and vibrated around rod reinforcement (formwork and reinforcement measured separately)</t>
    </r>
  </si>
  <si>
    <r>
      <t>Reinforced concrete quality C-20,</t>
    </r>
    <r>
      <rPr>
        <sz val="10"/>
        <rFont val="Lucida Sans"/>
        <family val="2"/>
      </rPr>
      <t xml:space="preserve"> minimum cement content of 320 kg of cement/m³ filled in to form work and vibrated around rod reinforcement (formwork and reinforcement measured separately)</t>
    </r>
  </si>
  <si>
    <r>
      <t>Mild steel reinforcement</t>
    </r>
    <r>
      <rPr>
        <sz val="10"/>
        <rFont val="Lucida Sans"/>
        <family val="2"/>
      </rPr>
      <t xml:space="preserve"> according to structural drawings.
Reinforcement shall be free from dirt, oil, grease, paint, retarders, etc and any other substances which may effect the reinforcement and concrete bond.</t>
    </r>
  </si>
  <si>
    <r>
      <t>400 mm thick</t>
    </r>
    <r>
      <rPr>
        <b/>
        <sz val="10"/>
        <rFont val="Lucida Sans"/>
        <family val="2"/>
      </rPr>
      <t xml:space="preserve"> basaltic stone masonry</t>
    </r>
    <r>
      <rPr>
        <sz val="10"/>
        <rFont val="Lucida Sans"/>
        <family val="2"/>
      </rPr>
      <t xml:space="preserve"> or equivalent, bedded in cement mortar mix (1:3) </t>
    </r>
    <r>
      <rPr>
        <b/>
        <sz val="10"/>
        <rFont val="Lucida Sans"/>
        <family val="2"/>
      </rPr>
      <t>below</t>
    </r>
    <r>
      <rPr>
        <sz val="10"/>
        <rFont val="Lucida Sans"/>
        <family val="2"/>
      </rPr>
      <t xml:space="preserve"> ground surface.</t>
    </r>
  </si>
  <si>
    <r>
      <t xml:space="preserve">400 mm thick </t>
    </r>
    <r>
      <rPr>
        <b/>
        <sz val="10"/>
        <rFont val="Lucida Sans"/>
        <family val="2"/>
      </rPr>
      <t>basaltic stone masonry</t>
    </r>
    <r>
      <rPr>
        <sz val="10"/>
        <rFont val="Lucida Sans"/>
        <family val="2"/>
      </rPr>
      <t xml:space="preserve"> or equivalent type of stone masonry roughly dressed, bedded in cement mortar mix (1:3) </t>
    </r>
    <r>
      <rPr>
        <b/>
        <sz val="10"/>
        <rFont val="Lucida Sans"/>
        <family val="2"/>
      </rPr>
      <t>above</t>
    </r>
    <r>
      <rPr>
        <sz val="10"/>
        <rFont val="Lucida Sans"/>
        <family val="2"/>
      </rPr>
      <t xml:space="preserve"> ground surface.</t>
    </r>
  </si>
  <si>
    <r>
      <t>Roof cover</t>
    </r>
    <r>
      <rPr>
        <sz val="10"/>
        <rFont val="Lucida Sans"/>
        <family val="2"/>
      </rPr>
      <t xml:space="preserve"> in precoated or galvanized sheet metal USG 30 fixed to timber purlins.
Price shall include G-30 flat sheet development length = 310 mm ridge cap and UV resistant washers. (Purlins measured separately and roof measured in horizontal projections)</t>
    </r>
  </si>
  <si>
    <r>
      <t xml:space="preserve">Supply and fix G-30 galvanized </t>
    </r>
    <r>
      <rPr>
        <b/>
        <sz val="10"/>
        <rFont val="Lucida Sans"/>
        <family val="2"/>
      </rPr>
      <t>flat metal sheet gutter</t>
    </r>
    <r>
      <rPr>
        <sz val="10"/>
        <rFont val="Lucida Sans"/>
        <family val="2"/>
      </rPr>
      <t xml:space="preserve"> as per the detail drawing.
Price shall include all necessary accessories including metal bracket holders, one coat of anti rust and two coats of oil paint.
Development length = 850 mm</t>
    </r>
  </si>
  <si>
    <r>
      <t xml:space="preserve">Supply, fabricate and mount </t>
    </r>
    <r>
      <rPr>
        <b/>
        <sz val="10"/>
        <rFont val="Lucida Sans"/>
        <family val="2"/>
      </rPr>
      <t>wood truss</t>
    </r>
    <r>
      <rPr>
        <sz val="10"/>
        <rFont val="Lucida Sans"/>
        <family val="2"/>
      </rPr>
      <t xml:space="preserve"> according to the structural drawing. Price shall include two coat of anti-termite treatment. and all other necessary accessories.  The connection joints shall be approved by the responsible engineer.</t>
    </r>
  </si>
  <si>
    <r>
      <t xml:space="preserve">Eucalyptus wood </t>
    </r>
    <r>
      <rPr>
        <sz val="10"/>
        <rFont val="Lucida Sans"/>
        <family val="2"/>
      </rPr>
      <t xml:space="preserve">Horizontal truss members.
</t>
    </r>
    <r>
      <rPr>
        <b/>
        <sz val="10"/>
        <rFont val="Lucida Sans"/>
        <family val="2"/>
      </rPr>
      <t>Size dia.100 mm</t>
    </r>
  </si>
  <si>
    <r>
      <t xml:space="preserve">Eucalyptus wood </t>
    </r>
    <r>
      <rPr>
        <sz val="10"/>
        <rFont val="Lucida Sans"/>
        <family val="2"/>
      </rPr>
      <t xml:space="preserve">vertical &amp; diagonal truss members.
</t>
    </r>
    <r>
      <rPr>
        <b/>
        <sz val="10"/>
        <rFont val="Lucida Sans"/>
        <family val="2"/>
      </rPr>
      <t>Size dia.80 mm</t>
    </r>
  </si>
  <si>
    <r>
      <t xml:space="preserve">Sawn zigba wood </t>
    </r>
    <r>
      <rPr>
        <sz val="10"/>
        <rFont val="Lucida Sans"/>
        <family val="2"/>
      </rPr>
      <t xml:space="preserve">roof purlins placed at c/c 900 mm.
</t>
    </r>
    <r>
      <rPr>
        <b/>
        <sz val="10"/>
        <rFont val="Lucida Sans"/>
        <family val="2"/>
      </rPr>
      <t>Size 50 x 70 mm</t>
    </r>
  </si>
  <si>
    <r>
      <t xml:space="preserve">Supply and fix 8 mm thick </t>
    </r>
    <r>
      <rPr>
        <b/>
        <sz val="10"/>
        <rFont val="Lucida Sans"/>
        <family val="2"/>
      </rPr>
      <t>chip wood ceilings</t>
    </r>
    <r>
      <rPr>
        <sz val="10"/>
        <rFont val="Lucida Sans"/>
        <family val="2"/>
      </rPr>
      <t xml:space="preserve"> as per the engineers approval and according to the detail drawing.
Price shall include 40 x 50 mm zigba wood battens with c/c spacing of 600 mm both ways, middle and corner strip and all other necessary accessory</t>
    </r>
  </si>
  <si>
    <r>
      <t xml:space="preserve">Supply and fix Tid wood </t>
    </r>
    <r>
      <rPr>
        <b/>
        <sz val="10"/>
        <rFont val="Lucida Sans"/>
        <family val="2"/>
      </rPr>
      <t xml:space="preserve">Facia board </t>
    </r>
    <r>
      <rPr>
        <sz val="10"/>
        <rFont val="Lucida Sans"/>
        <family val="2"/>
      </rPr>
      <t xml:space="preserve">according to the detail drawing.
Price shall include 3 coats of varnish paint.
Size 20 x 250 mm. </t>
    </r>
  </si>
  <si>
    <r>
      <t xml:space="preserve">Apply three coats of </t>
    </r>
    <r>
      <rPr>
        <b/>
        <sz val="10"/>
        <rFont val="Lucida Sans"/>
        <family val="2"/>
      </rPr>
      <t>plastering in cement mortar</t>
    </r>
    <r>
      <rPr>
        <sz val="10"/>
        <rFont val="Lucida Sans"/>
        <family val="2"/>
      </rPr>
      <t xml:space="preserve"> (1:3).</t>
    </r>
  </si>
  <si>
    <r>
      <t xml:space="preserve">Apply two coats of </t>
    </r>
    <r>
      <rPr>
        <b/>
        <sz val="10"/>
        <rFont val="Lucida Sans"/>
        <family val="2"/>
      </rPr>
      <t>plastering in cement mortar</t>
    </r>
    <r>
      <rPr>
        <sz val="10"/>
        <rFont val="Lucida Sans"/>
        <family val="2"/>
      </rPr>
      <t xml:space="preserve"> (1:3) to receive ceramic wall tile. Price shall include supply, pre-cleaning and preparation of the surface.</t>
    </r>
  </si>
  <si>
    <r>
      <t xml:space="preserve">48 mm thick trowel finished </t>
    </r>
    <r>
      <rPr>
        <b/>
        <sz val="10"/>
        <rFont val="Lucida Sans"/>
        <family val="2"/>
      </rPr>
      <t>cement sand screed</t>
    </r>
    <r>
      <rPr>
        <sz val="10"/>
        <rFont val="Lucida Sans"/>
        <family val="2"/>
      </rPr>
      <t xml:space="preserve"> (1:3) t receive PVC tile</t>
    </r>
  </si>
  <si>
    <r>
      <t xml:space="preserve">600 mm wide </t>
    </r>
    <r>
      <rPr>
        <b/>
        <sz val="10"/>
        <rFont val="Lucida Sans"/>
        <family val="2"/>
      </rPr>
      <t>stone pavement</t>
    </r>
    <r>
      <rPr>
        <sz val="10"/>
        <rFont val="Lucida Sans"/>
        <family val="2"/>
      </rPr>
      <t xml:space="preserve"> around the building.
Price shall include red ash or equivalent bedding material and </t>
    </r>
    <r>
      <rPr>
        <b/>
        <sz val="10"/>
        <rFont val="Lucida Sans"/>
        <family val="2"/>
      </rPr>
      <t>half</t>
    </r>
    <r>
      <rPr>
        <sz val="10"/>
        <rFont val="Lucida Sans"/>
        <family val="2"/>
      </rPr>
      <t xml:space="preserve"> dia 400 mm concrete rain water pipe pointing as per the detail drawing and the engineers direction. </t>
    </r>
  </si>
  <si>
    <r>
      <t xml:space="preserve">Provide and apply three coats </t>
    </r>
    <r>
      <rPr>
        <b/>
        <sz val="10"/>
        <rFont val="Lucida Sans"/>
        <family val="2"/>
      </rPr>
      <t>emulsion paint</t>
    </r>
    <r>
      <rPr>
        <sz val="10"/>
        <rFont val="Lucida Sans"/>
        <family val="2"/>
      </rPr>
      <t xml:space="preserve">
All required materials as per approval of the engineer.</t>
    </r>
  </si>
  <si>
    <r>
      <t xml:space="preserve">Supply and fix Awassa ceramics </t>
    </r>
    <r>
      <rPr>
        <b/>
        <sz val="10"/>
        <rFont val="Lucida Sans"/>
        <family val="2"/>
      </rPr>
      <t>hand wash basins</t>
    </r>
    <r>
      <rPr>
        <sz val="10"/>
        <rFont val="Lucida Sans"/>
        <family val="2"/>
      </rPr>
      <t xml:space="preserve"> made of white vitreous china, with chrome plated cold and hot water mixer, complete with plug, chrome plated chain holder, P-smell trap with connection pipe and with all other necessary accessories. 
Size 405x500 mm        </t>
    </r>
  </si>
  <si>
    <r>
      <t xml:space="preserve">Supply and fix Awassa ceramics </t>
    </r>
    <r>
      <rPr>
        <b/>
        <sz val="10"/>
        <rFont val="Lucida Sans"/>
        <family val="2"/>
      </rPr>
      <t>wash down water closets</t>
    </r>
    <r>
      <rPr>
        <sz val="10"/>
        <rFont val="Lucida Sans"/>
        <family val="2"/>
      </rPr>
      <t xml:space="preserve"> made of white vitreous china with plastic seat and cover including low flush cistern. Complete with all necessary accessories </t>
    </r>
  </si>
  <si>
    <r>
      <t>Supply and fix Awassa ceramics</t>
    </r>
    <r>
      <rPr>
        <b/>
        <sz val="10"/>
        <rFont val="Lucida Sans"/>
        <family val="2"/>
      </rPr>
      <t xml:space="preserve"> toilet paper holder</t>
    </r>
    <r>
      <rPr>
        <sz val="10"/>
        <rFont val="Lucida Sans"/>
        <family val="2"/>
      </rPr>
      <t xml:space="preserve"> with chrome plated brass wall flanged roll with chrome plated fastening screws and other accessories. </t>
    </r>
  </si>
  <si>
    <r>
      <t xml:space="preserve">Supply and fix </t>
    </r>
    <r>
      <rPr>
        <b/>
        <sz val="10"/>
        <rFont val="Lucida Sans"/>
        <family val="2"/>
      </rPr>
      <t>soap holder</t>
    </r>
    <r>
      <rPr>
        <sz val="10"/>
        <rFont val="Lucida Sans"/>
        <family val="2"/>
      </rPr>
      <t xml:space="preserve"> out of Awassa ceramic or equivalent, fixed with chrome plated brass wall flanged roll chrome plated fastening screws and other accessories.
Size: 305 x 150 mm</t>
    </r>
  </si>
  <si>
    <r>
      <t xml:space="preserve">Supply and fix </t>
    </r>
    <r>
      <rPr>
        <b/>
        <sz val="10"/>
        <rFont val="Lucida Sans"/>
        <family val="2"/>
      </rPr>
      <t>Enameled cast iron shower unit</t>
    </r>
    <r>
      <rPr>
        <sz val="10"/>
        <rFont val="Lucida Sans"/>
        <family val="2"/>
      </rPr>
      <t>, with chrome plated valves and shower head and other accessories.
Size: 700x700 mm</t>
    </r>
  </si>
  <si>
    <r>
      <t xml:space="preserve">Supply and fix Kitchen </t>
    </r>
    <r>
      <rPr>
        <b/>
        <sz val="10"/>
        <rFont val="Lucida Sans"/>
        <family val="2"/>
      </rPr>
      <t>Single boul</t>
    </r>
    <r>
      <rPr>
        <sz val="10"/>
        <rFont val="Lucida Sans"/>
        <family val="2"/>
      </rPr>
      <t xml:space="preserve"> </t>
    </r>
    <r>
      <rPr>
        <b/>
        <sz val="10"/>
        <rFont val="Lucida Sans"/>
        <family val="2"/>
      </rPr>
      <t xml:space="preserve">sink </t>
    </r>
    <r>
      <rPr>
        <sz val="10"/>
        <rFont val="Lucida Sans"/>
        <family val="2"/>
      </rPr>
      <t>out of stainless steel, with chrome plated Mixing tape, complete with plug, chrome plated chain holder and other accessories.
Size: 1200x500 mm</t>
    </r>
  </si>
  <si>
    <r>
      <t xml:space="preserve">Supply and fix </t>
    </r>
    <r>
      <rPr>
        <b/>
        <sz val="10"/>
        <rFont val="Lucida Sans"/>
        <family val="2"/>
      </rPr>
      <t>floor drains</t>
    </r>
    <r>
      <rPr>
        <sz val="10"/>
        <rFont val="Lucida Sans"/>
        <family val="2"/>
      </rPr>
      <t xml:space="preserve"> made of polished steel of approved quality, complete with P-smell trap and all other necessary fittings and accessories.
Size: - Dia. 50 mm</t>
    </r>
  </si>
  <si>
    <r>
      <t xml:space="preserve">Supply and fix </t>
    </r>
    <r>
      <rPr>
        <b/>
        <sz val="10"/>
        <rFont val="Lucida Sans"/>
        <family val="2"/>
      </rPr>
      <t>glass mirror</t>
    </r>
    <r>
      <rPr>
        <sz val="10"/>
        <rFont val="Lucida Sans"/>
        <family val="2"/>
      </rPr>
      <t xml:space="preserve">
complete with chrome plated brass frames and screws and all necessary accessories. Price shall include all civil works.
Size: 500 x 400 mm</t>
    </r>
  </si>
  <si>
    <r>
      <t>Supply and install</t>
    </r>
    <r>
      <rPr>
        <b/>
        <sz val="10"/>
        <rFont val="Lucida Sans"/>
        <family val="2"/>
      </rPr>
      <t xml:space="preserve"> galvanized steel pipes</t>
    </r>
    <r>
      <rPr>
        <sz val="10"/>
        <rFont val="Lucida Sans"/>
        <family val="2"/>
      </rPr>
      <t xml:space="preserve"> to internal water distribution system as shown on the drawing complete with all the necessary accessories.</t>
    </r>
  </si>
  <si>
    <r>
      <t xml:space="preserve">Supply and fix approved quality </t>
    </r>
    <r>
      <rPr>
        <b/>
        <sz val="10"/>
        <rFont val="Lucida Sans"/>
        <family val="2"/>
      </rPr>
      <t>brass gate valves</t>
    </r>
    <r>
      <rPr>
        <sz val="10"/>
        <rFont val="Lucida Sans"/>
        <family val="2"/>
      </rPr>
      <t xml:space="preserve"> at internal branch water pipes and pipe inlet to building of the following sizes and as where shown on the drawing. </t>
    </r>
  </si>
  <si>
    <r>
      <t xml:space="preserve">Supply and lay internal </t>
    </r>
    <r>
      <rPr>
        <b/>
        <sz val="10"/>
        <rFont val="Lucida Sans"/>
        <family val="2"/>
      </rPr>
      <t>PVC waste and vent pipes</t>
    </r>
    <r>
      <rPr>
        <sz val="10"/>
        <rFont val="Lucida Sans"/>
        <family val="2"/>
      </rPr>
      <t xml:space="preserve"> according to where shown on the drawings. Complete with all the necessary fittings. </t>
    </r>
  </si>
  <si>
    <r>
      <t>Manhole</t>
    </r>
    <r>
      <rPr>
        <sz val="10"/>
        <rFont val="Lucida Sans"/>
        <family val="2"/>
      </rPr>
      <t xml:space="preserve"> out of internally plastered stone masonry/ HCB wall with 80 mm thick mass concrete base slab and 80 mm RC over. Price shall include all required works.
Size: 600 x 600 x 700 mm inner diameter</t>
    </r>
  </si>
  <si>
    <r>
      <t xml:space="preserve">Supply and install </t>
    </r>
    <r>
      <rPr>
        <b/>
        <sz val="10"/>
        <rFont val="Lucida Sans"/>
        <family val="2"/>
      </rPr>
      <t>PVC pipe</t>
    </r>
    <r>
      <rPr>
        <sz val="10"/>
        <rFont val="Lucida Sans"/>
        <family val="2"/>
      </rPr>
      <t xml:space="preserve"> of 36 mm diameter</t>
    </r>
  </si>
  <si>
    <r>
      <t xml:space="preserve">Flush mounting </t>
    </r>
    <r>
      <rPr>
        <b/>
        <sz val="10"/>
        <rFont val="Lucida Sans"/>
        <family val="2"/>
      </rPr>
      <t>distribution board MDB1</t>
    </r>
    <r>
      <rPr>
        <sz val="10"/>
        <rFont val="Lucida Sans"/>
        <family val="2"/>
      </rPr>
      <t>, in sheet steel enclosure with lockable door and with phase, neutral, earth bus-bars of 63A/3P and consisting of:-
1 pc main ACB of 63A/3P
1 pc ACB of  32A/3P
13 pcs ACB of  16A/1P
1 pc ACB of  10A/1P
25% reserve p</t>
    </r>
  </si>
  <si>
    <r>
      <t xml:space="preserve">Supply and install flush mounted </t>
    </r>
    <r>
      <rPr>
        <b/>
        <sz val="10"/>
        <rFont val="Lucida Sans"/>
        <family val="2"/>
      </rPr>
      <t>light points</t>
    </r>
    <r>
      <rPr>
        <sz val="10"/>
        <rFont val="Lucida Sans"/>
        <family val="2"/>
      </rPr>
      <t xml:space="preserve"> fed through PVC insulated conductors of
3 x 2.5 mm² inside PVC conduits of 16 mm diameter, including junction boxes  with covers insulating screw cap connectors.</t>
    </r>
  </si>
  <si>
    <r>
      <t xml:space="preserve">Flush mounting </t>
    </r>
    <r>
      <rPr>
        <b/>
        <sz val="10"/>
        <rFont val="Lucida Sans"/>
        <family val="2"/>
      </rPr>
      <t>single switch</t>
    </r>
    <r>
      <rPr>
        <sz val="10"/>
        <rFont val="Lucida Sans"/>
        <family val="2"/>
      </rPr>
      <t>, 7740 01 + 774041</t>
    </r>
  </si>
  <si>
    <r>
      <t>Flush mounting</t>
    </r>
    <r>
      <rPr>
        <b/>
        <sz val="10"/>
        <rFont val="Lucida Sans"/>
        <family val="2"/>
      </rPr>
      <t xml:space="preserve"> two-way switch</t>
    </r>
    <r>
      <rPr>
        <sz val="10"/>
        <rFont val="Lucida Sans"/>
        <family val="2"/>
      </rPr>
      <t>, 7740 06 + 774041</t>
    </r>
  </si>
  <si>
    <r>
      <t xml:space="preserve">Supply and install socket Outlets
</t>
    </r>
    <r>
      <rPr>
        <b/>
        <sz val="10"/>
        <rFont val="Lucida Sans"/>
        <family val="2"/>
      </rPr>
      <t>(Type Legrand Suno or Equivalent)</t>
    </r>
  </si>
  <si>
    <r>
      <t xml:space="preserve">Flush mounting </t>
    </r>
    <r>
      <rPr>
        <b/>
        <sz val="10"/>
        <rFont val="Lucida Sans"/>
        <family val="2"/>
      </rPr>
      <t>socket outlet</t>
    </r>
    <r>
      <rPr>
        <sz val="10"/>
        <rFont val="Lucida Sans"/>
        <family val="2"/>
      </rPr>
      <t xml:space="preserve"> of 10A/1P, 774020+774041</t>
    </r>
  </si>
  <si>
    <r>
      <t xml:space="preserve">Supply and install Light </t>
    </r>
    <r>
      <rPr>
        <b/>
        <sz val="10"/>
        <rFont val="Lucida Sans"/>
        <family val="2"/>
      </rPr>
      <t>Fittings and Lamps</t>
    </r>
    <r>
      <rPr>
        <sz val="10"/>
        <rFont val="Lucida Sans"/>
        <family val="2"/>
      </rPr>
      <t xml:space="preserve"> (Specified Type or Equivalent)</t>
    </r>
  </si>
  <si>
    <r>
      <t>Fluorescent fitting</t>
    </r>
    <r>
      <rPr>
        <sz val="10"/>
        <rFont val="Lucida Sans"/>
        <family val="2"/>
      </rPr>
      <t xml:space="preserve"> type
PhilipsTMS 022/136 I +2 x TLD 36W/840 lamps</t>
    </r>
  </si>
  <si>
    <r>
      <t>Incandescent fitting</t>
    </r>
    <r>
      <rPr>
        <sz val="10"/>
        <rFont val="Lucida Sans"/>
        <family val="2"/>
      </rPr>
      <t xml:space="preserve"> type RZB 22147.912 + TC 9W lamp </t>
    </r>
  </si>
  <si>
    <r>
      <t xml:space="preserve">Supply and fix 8 mm thick </t>
    </r>
    <r>
      <rPr>
        <b/>
        <sz val="10"/>
        <rFont val="Lucida Sans"/>
        <family val="2"/>
      </rPr>
      <t>chip wood ceilings</t>
    </r>
    <r>
      <rPr>
        <sz val="10"/>
        <rFont val="Lucida Sans"/>
        <family val="2"/>
      </rPr>
      <t xml:space="preserve"> as per the engineers approval and according to the detail drawing.
Price shall include 40 x 50 mm zigba wood battens with c/c spacing of 600 mm both ways, middle and corner strip and all other necessary accesso</t>
    </r>
  </si>
  <si>
    <r>
      <t xml:space="preserve">Apply three coats of </t>
    </r>
    <r>
      <rPr>
        <b/>
        <sz val="10"/>
        <rFont val="Lucida Sans"/>
        <family val="2"/>
      </rPr>
      <t>plastering in cement mortar</t>
    </r>
    <r>
      <rPr>
        <sz val="10"/>
        <rFont val="Lucida Sans"/>
        <family val="2"/>
      </rPr>
      <t xml:space="preserve"> (1:3).
</t>
    </r>
  </si>
  <si>
    <r>
      <t xml:space="preserve">Apply two coats of </t>
    </r>
    <r>
      <rPr>
        <b/>
        <sz val="10"/>
        <rFont val="Lucida Sans"/>
        <family val="2"/>
      </rPr>
      <t>plastering in cement mortar</t>
    </r>
    <r>
      <rPr>
        <sz val="10"/>
        <rFont val="Lucida Sans"/>
        <family val="2"/>
      </rPr>
      <t xml:space="preserve"> (1:3) to recieve ceramic wall tile. Price shall include supply, pre-cleaning and preparation of the surface.</t>
    </r>
  </si>
  <si>
    <r>
      <t xml:space="preserve">48 mm thick </t>
    </r>
    <r>
      <rPr>
        <b/>
        <sz val="10"/>
        <rFont val="Lucida Sans"/>
        <family val="2"/>
      </rPr>
      <t>cement sand screed</t>
    </r>
    <r>
      <rPr>
        <sz val="10"/>
        <rFont val="Lucida Sans"/>
        <family val="2"/>
      </rPr>
      <t xml:space="preserve"> (1:3) to receive PVC floor tille</t>
    </r>
  </si>
  <si>
    <r>
      <t xml:space="preserve">Supply and fix Awassa ceramics </t>
    </r>
    <r>
      <rPr>
        <b/>
        <sz val="10"/>
        <rFont val="Lucida Sans"/>
        <family val="2"/>
      </rPr>
      <t>hand wash basins</t>
    </r>
    <r>
      <rPr>
        <sz val="10"/>
        <rFont val="Lucida Sans"/>
        <family val="2"/>
      </rPr>
      <t xml:space="preserve"> made of white vitreous china, with chrome plated cold and hot water mixer, complete with plug, chrome plated chain holder, P-smell trap with connection pipe and with all other necessary accessories.         </t>
    </r>
  </si>
  <si>
    <t>Labour wage per hr</t>
  </si>
  <si>
    <t>Responsibility</t>
  </si>
  <si>
    <t>forman 1</t>
  </si>
  <si>
    <t>subcontractor 1</t>
  </si>
  <si>
    <t>subcontractor 2</t>
  </si>
  <si>
    <t>plumber</t>
  </si>
  <si>
    <t>electrician</t>
  </si>
  <si>
    <t>Area</t>
  </si>
  <si>
    <t>own force</t>
  </si>
  <si>
    <t>sub contract</t>
  </si>
  <si>
    <t>Due to cement delivery time, start not earlier than October 10,2007</t>
  </si>
  <si>
    <t>Direct cost + indirect cost</t>
  </si>
  <si>
    <t>ITEM</t>
  </si>
  <si>
    <t>DESCRIPTION</t>
  </si>
  <si>
    <t>UNIT</t>
  </si>
  <si>
    <t>QTY</t>
  </si>
  <si>
    <t>Performance</t>
  </si>
  <si>
    <t>unit/hr</t>
  </si>
  <si>
    <t>Units</t>
  </si>
  <si>
    <t>02. EXCAVATION AND EARTH WORK</t>
  </si>
  <si>
    <t xml:space="preserve">Excavation Soil type shall be </t>
  </si>
  <si>
    <t>all as per the attached soil report.</t>
  </si>
  <si>
    <t>Pit excavation</t>
  </si>
  <si>
    <t>01</t>
  </si>
  <si>
    <t>Remove top soil depth 30cm</t>
  </si>
  <si>
    <r>
      <t>m</t>
    </r>
    <r>
      <rPr>
        <vertAlign val="superscript"/>
        <sz val="12"/>
        <rFont val="Times New Roman"/>
        <family val="1"/>
      </rPr>
      <t>2</t>
    </r>
  </si>
  <si>
    <t>02</t>
  </si>
  <si>
    <t>Pit not exceeding 1.5m</t>
  </si>
  <si>
    <r>
      <t>m</t>
    </r>
    <r>
      <rPr>
        <vertAlign val="superscript"/>
        <sz val="12"/>
        <rFont val="Times New Roman"/>
        <family val="1"/>
      </rPr>
      <t>3</t>
    </r>
  </si>
  <si>
    <t>03</t>
  </si>
  <si>
    <t xml:space="preserve">Over 1.5m not exceeding </t>
  </si>
  <si>
    <t>Fill</t>
  </si>
  <si>
    <t>04</t>
  </si>
  <si>
    <t>Selected borrowed fill</t>
  </si>
  <si>
    <t>Compactor</t>
  </si>
  <si>
    <t>Selected material (m3)</t>
  </si>
  <si>
    <t>05</t>
  </si>
  <si>
    <t>Disposal</t>
  </si>
  <si>
    <t>Wheel loader</t>
  </si>
  <si>
    <t>Dump truck</t>
  </si>
  <si>
    <t>Sub base</t>
  </si>
  <si>
    <t>06</t>
  </si>
  <si>
    <t>Hard core 25cm. thick</t>
  </si>
  <si>
    <t>Basaltic stone</t>
  </si>
  <si>
    <t>TOTAL TO SUMMARY……………………BIRR</t>
  </si>
  <si>
    <t>03. CONCRETE WORK</t>
  </si>
  <si>
    <t>Insitu concrete</t>
  </si>
  <si>
    <t>Plain blinding concrete C - 5</t>
  </si>
  <si>
    <t>Mixer</t>
  </si>
  <si>
    <t>Gravel</t>
  </si>
  <si>
    <t>Sand</t>
  </si>
  <si>
    <t>Cement</t>
  </si>
  <si>
    <t>Ordinary portland cement</t>
  </si>
  <si>
    <t>Reinforced sub structure concrete</t>
  </si>
  <si>
    <t>C -25, in footing</t>
  </si>
  <si>
    <t>C - 25, in  grade column</t>
  </si>
  <si>
    <t xml:space="preserve">C - 25 in grade beam </t>
  </si>
  <si>
    <t xml:space="preserve">C - 15 in G . F slab </t>
  </si>
  <si>
    <t xml:space="preserve">Reinforced super structure </t>
  </si>
  <si>
    <t>C - 25 in elevation column</t>
  </si>
  <si>
    <t>07</t>
  </si>
  <si>
    <t>C-25 in beams &amp; lentil</t>
  </si>
  <si>
    <t>08</t>
  </si>
  <si>
    <t>C-25 in roof slab</t>
  </si>
  <si>
    <t>09</t>
  </si>
  <si>
    <t>C -25 in parapet</t>
  </si>
  <si>
    <t>C-25 water tight concrete in average 15cm thick over roof</t>
  </si>
  <si>
    <t>slab including  dia.4mm steel bar at c/c 20cm both way to</t>
  </si>
  <si>
    <t>be finished with smooth trowel finish to the given slope and</t>
  </si>
  <si>
    <t>make ready to apply water proofing material.</t>
  </si>
  <si>
    <t>Form work</t>
  </si>
  <si>
    <t>Sub structure normal finish to:-</t>
  </si>
  <si>
    <t>Footing</t>
  </si>
  <si>
    <t>Foundation column</t>
  </si>
  <si>
    <t xml:space="preserve">Grade beam </t>
  </si>
  <si>
    <t>Super structure normal finish to:-</t>
  </si>
  <si>
    <t>Elevation column</t>
  </si>
  <si>
    <t>Beams &amp; lintels</t>
  </si>
  <si>
    <t>Roof slab</t>
  </si>
  <si>
    <t>Parapet</t>
  </si>
  <si>
    <t>Reinforcement</t>
  </si>
  <si>
    <t xml:space="preserve">Sub structure </t>
  </si>
  <si>
    <t xml:space="preserve">Diameter 8mm </t>
  </si>
  <si>
    <t>Diameter 12 - 20mm</t>
  </si>
  <si>
    <t xml:space="preserve">Super Structure </t>
  </si>
  <si>
    <t>Diameter 18 - 20mm</t>
  </si>
  <si>
    <t xml:space="preserve">Concrete ancillaries </t>
  </si>
  <si>
    <t>Expansion joint</t>
  </si>
  <si>
    <t>In 8 cm thick chip wood depth 10cm</t>
  </si>
  <si>
    <t xml:space="preserve">          TOTAL TO SUMMARY  - - - - - - -</t>
  </si>
  <si>
    <t>BIRR</t>
  </si>
  <si>
    <t>04.  MASONRY WORK</t>
  </si>
  <si>
    <t xml:space="preserve">Hollow concrete block  work above </t>
  </si>
  <si>
    <t>Grade wall  in cement mortar Class "A"</t>
  </si>
  <si>
    <t>20cm thick both face left for plaster</t>
  </si>
  <si>
    <t xml:space="preserve">05.  ROOF WATER PROOFING </t>
  </si>
  <si>
    <t xml:space="preserve">Decadex FL-10 water proofing system embodiments </t>
  </si>
  <si>
    <r>
      <t>coat  = 0.5 liter/m</t>
    </r>
    <r>
      <rPr>
        <vertAlign val="superscript"/>
        <sz val="12"/>
        <rFont val="Times New Roman"/>
        <family val="1"/>
      </rPr>
      <t>2</t>
    </r>
    <r>
      <rPr>
        <sz val="12"/>
        <rFont val="Times New Roman"/>
        <family val="1"/>
      </rPr>
      <t xml:space="preserve"> premium grade reemat glass mat </t>
    </r>
  </si>
  <si>
    <r>
      <t>reinforcement, top coat = 0.5  liter/m</t>
    </r>
    <r>
      <rPr>
        <vertAlign val="superscript"/>
        <sz val="12"/>
        <rFont val="Times New Roman"/>
        <family val="1"/>
      </rPr>
      <t>2</t>
    </r>
    <r>
      <rPr>
        <sz val="12"/>
        <rFont val="Times New Roman"/>
        <family val="1"/>
      </rPr>
      <t xml:space="preserve"> and all according </t>
    </r>
  </si>
  <si>
    <t>to manufacture instruction.</t>
  </si>
  <si>
    <t xml:space="preserve">           TOTAL TO SUMMARY  - - - - - - - - </t>
  </si>
  <si>
    <t>07.  JOINERY</t>
  </si>
  <si>
    <t>Finish wooden doors kerrero</t>
  </si>
  <si>
    <t>Type D3 size 90 x 250cm.</t>
  </si>
  <si>
    <t>Nº</t>
  </si>
  <si>
    <t>10.  METAL WORK</t>
  </si>
  <si>
    <t>Metal doors &amp; windows LTZ black</t>
  </si>
  <si>
    <t>sheet profile 38mm and  1.5 mm thick</t>
  </si>
  <si>
    <t>door</t>
  </si>
  <si>
    <t>Type D1 size 300 x 250 cm</t>
  </si>
  <si>
    <t>Type D2 size 120 x 250 cm</t>
  </si>
  <si>
    <t>Windows</t>
  </si>
  <si>
    <t>Type W2 size 120 x 120 cm</t>
  </si>
  <si>
    <t>Metal louver</t>
  </si>
  <si>
    <t>Type W1 size 140 x 140 cm</t>
  </si>
  <si>
    <t>Type W3 size 90 x 90cm</t>
  </si>
  <si>
    <t xml:space="preserve">       TOTAL TO SUMMARY  - - - - - - - - -</t>
  </si>
  <si>
    <t>11.  FINISHING</t>
  </si>
  <si>
    <t>11.1  PLASTERING</t>
  </si>
  <si>
    <t>Two coats of plaster cement mortar</t>
  </si>
  <si>
    <t>to internal surface of:-</t>
  </si>
  <si>
    <t>Hollow concrete block wall surface</t>
  </si>
  <si>
    <t xml:space="preserve">Concrete vertical surface </t>
  </si>
  <si>
    <t>Concrete soffit</t>
  </si>
  <si>
    <t>Cement mortal to external surface of:-</t>
  </si>
  <si>
    <t>Concrete vertical surface</t>
  </si>
  <si>
    <t>Fine coat cement plaster to:-</t>
  </si>
  <si>
    <t xml:space="preserve">Internal plastered  vertical surface </t>
  </si>
  <si>
    <t>Final render coat to:-</t>
  </si>
  <si>
    <t xml:space="preserve">External plastered vertical surface </t>
  </si>
  <si>
    <t>11.2 FLOOR &amp; WALL FINISH</t>
  </si>
  <si>
    <t xml:space="preserve">Cement screed floor finish </t>
  </si>
  <si>
    <t>5 cm thick smooth finished</t>
  </si>
  <si>
    <t xml:space="preserve">Sill </t>
  </si>
  <si>
    <t>Size:- 27 x 10cm concrete</t>
  </si>
  <si>
    <t xml:space="preserve">Concrete paving </t>
  </si>
  <si>
    <t>10cm thick precast concrete</t>
  </si>
  <si>
    <t>12.  PAINTING</t>
  </si>
  <si>
    <t>Plastic emultion paint</t>
  </si>
  <si>
    <t>Internal plastered vertical surface</t>
  </si>
  <si>
    <t>External rendered surface</t>
  </si>
  <si>
    <t>13.  GLAZING</t>
  </si>
  <si>
    <t>Transparent glass</t>
  </si>
  <si>
    <t>Clear sheet</t>
  </si>
  <si>
    <t xml:space="preserve">4mm thick </t>
  </si>
  <si>
    <t>15.  ELECTRICAL INSTALLATION</t>
  </si>
  <si>
    <t xml:space="preserve">Flush mounted sub-distribution board SDB-GE </t>
  </si>
  <si>
    <t>consisting of:-</t>
  </si>
  <si>
    <t xml:space="preserve">1pc main MCB of  20A, 1ph  </t>
  </si>
  <si>
    <t xml:space="preserve">1pc  MCB of  10A, 1ph </t>
  </si>
  <si>
    <t xml:space="preserve">Light points in thermoplastic conduit of </t>
  </si>
  <si>
    <t>Diameter 13.5mm fed by PVC conductor</t>
  </si>
  <si>
    <t xml:space="preserve">of 3 x 2.5sq.mm </t>
  </si>
  <si>
    <t>Single pole switch for recessed installation</t>
  </si>
  <si>
    <t>Socket outlet in thermoplastic conduit of diameter 16mm fed</t>
  </si>
  <si>
    <t>by PVC conductor of 3 x 2.5sq.mm.</t>
  </si>
  <si>
    <t>PVC cable 2 x 4 sq.mm in thermoplastic conduit of diameter</t>
  </si>
  <si>
    <t>16mm.</t>
  </si>
  <si>
    <t xml:space="preserve">Philips TMS  012/236 with 2 x 'TL'D 36W </t>
  </si>
  <si>
    <t xml:space="preserve"> fluorescent lamp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</si>
</sst>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h:mm:ss\ AM/PM"/>
    <numFmt numFmtId="172" formatCode="[$-F800]dddd\,\ mmmm\ dd\,\ yyyy"/>
    <numFmt numFmtId="173" formatCode="mmm\-yyyy"/>
    <numFmt numFmtId="174" formatCode="_(* #,##0_);_(* \(#,##0\);_(* &quot;-&quot;??_);_(@_)"/>
  </numFmts>
  <fonts count="53">
    <font>
      <sz val="10"/>
      <name val="Arial"/>
      <family val="0"/>
    </font>
    <font>
      <u val="single"/>
      <sz val="10"/>
      <color indexed="12"/>
      <name val="Arial"/>
      <family val="0"/>
    </font>
    <font>
      <u val="single"/>
      <sz val="10"/>
      <color indexed="36"/>
      <name val="Arial"/>
      <family val="0"/>
    </font>
    <font>
      <sz val="8"/>
      <name val="Arial"/>
      <family val="0"/>
    </font>
    <font>
      <sz val="10"/>
      <color indexed="12"/>
      <name val="Arial"/>
      <family val="2"/>
    </font>
    <font>
      <b/>
      <sz val="10"/>
      <color indexed="12"/>
      <name val="Lucida Sans"/>
      <family val="2"/>
    </font>
    <font>
      <sz val="10"/>
      <color indexed="12"/>
      <name val="Lucida Sans"/>
      <family val="2"/>
    </font>
    <font>
      <sz val="10"/>
      <color indexed="10"/>
      <name val="Arial"/>
      <family val="2"/>
    </font>
    <font>
      <b/>
      <sz val="10"/>
      <name val="Lucida Sans"/>
      <family val="2"/>
    </font>
    <font>
      <sz val="10"/>
      <name val="Lucida Sans"/>
      <family val="2"/>
    </font>
    <font>
      <b/>
      <sz val="10"/>
      <name val="Arial"/>
      <family val="2"/>
    </font>
    <font>
      <b/>
      <sz val="12"/>
      <name val="Lucida Sans"/>
      <family val="2"/>
    </font>
    <font>
      <sz val="10"/>
      <name val="Comic Sans MS"/>
      <family val="4"/>
    </font>
    <font>
      <b/>
      <sz val="10"/>
      <name val="Comic Sans MS"/>
      <family val="4"/>
    </font>
    <font>
      <i/>
      <sz val="8"/>
      <name val="Lucida Sans"/>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i/>
      <sz val="12"/>
      <name val="Times New Roman"/>
      <family val="1"/>
    </font>
    <font>
      <sz val="12"/>
      <name val="Times New Roman"/>
      <family val="1"/>
    </font>
    <font>
      <vertAlign val="superscrip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hair"/>
    </border>
    <border>
      <left style="thin"/>
      <right style="thin"/>
      <top style="hair"/>
      <bottom style="hair"/>
    </border>
    <border>
      <left style="thin"/>
      <right style="thick"/>
      <top style="hair"/>
      <bottom style="hair"/>
    </border>
    <border>
      <left style="thick"/>
      <right style="thin"/>
      <top style="hair"/>
      <bottom style="thick"/>
    </border>
    <border>
      <left style="thin"/>
      <right style="thin"/>
      <top style="hair"/>
      <bottom style="thick"/>
    </border>
    <border>
      <left style="thin"/>
      <right style="thick"/>
      <top style="hair"/>
      <bottom style="thick"/>
    </border>
    <border>
      <left style="thin"/>
      <right>
        <color indexed="63"/>
      </right>
      <top style="hair"/>
      <bottom style="thick"/>
    </border>
    <border>
      <left style="thin"/>
      <right style="thick"/>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ck"/>
    </border>
    <border>
      <left style="thin"/>
      <right style="thin"/>
      <top style="thick"/>
      <bottom style="thick"/>
    </border>
    <border>
      <left style="thin"/>
      <right style="thick"/>
      <top style="thick"/>
      <bottom style="thick"/>
    </border>
    <border>
      <left style="double"/>
      <right style="double"/>
      <top style="double"/>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double"/>
      <top style="double"/>
      <bottom style="hair"/>
    </border>
    <border>
      <left style="double"/>
      <right style="thin"/>
      <top style="hair"/>
      <bottom style="hair"/>
    </border>
    <border>
      <left style="thin"/>
      <right style="double"/>
      <top style="hair"/>
      <bottom style="hair"/>
    </border>
    <border>
      <left style="double"/>
      <right style="double"/>
      <top style="hair"/>
      <bottom style="hair"/>
    </border>
    <border>
      <left style="thin"/>
      <right>
        <color indexed="63"/>
      </right>
      <top style="hair"/>
      <bottom style="hair"/>
    </border>
    <border>
      <left style="double"/>
      <right style="thin"/>
      <top style="hair"/>
      <bottom>
        <color indexed="63"/>
      </bottom>
    </border>
    <border>
      <left style="thin"/>
      <right style="thin"/>
      <top style="hair"/>
      <bottom>
        <color indexed="63"/>
      </bottom>
    </border>
    <border>
      <left style="thin"/>
      <right>
        <color indexed="63"/>
      </right>
      <top style="hair"/>
      <bottom>
        <color indexed="63"/>
      </bottom>
    </border>
    <border>
      <left style="double"/>
      <right style="double"/>
      <top style="hair"/>
      <bottom>
        <color indexed="63"/>
      </bottom>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double"/>
      <top style="hair"/>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color indexed="63"/>
      </left>
      <right style="thin"/>
      <top style="double"/>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double"/>
    </border>
    <border>
      <left style="thin"/>
      <right>
        <color indexed="63"/>
      </right>
      <top style="double"/>
      <bottom style="hair"/>
    </border>
    <border>
      <left style="thin"/>
      <right>
        <color indexed="63"/>
      </right>
      <top style="hair"/>
      <bottom style="double"/>
    </border>
    <border>
      <left>
        <color indexed="63"/>
      </left>
      <right style="double"/>
      <top style="double"/>
      <bottom style="double"/>
    </border>
    <border>
      <left>
        <color indexed="63"/>
      </left>
      <right style="double"/>
      <top style="double"/>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double"/>
      <right style="double"/>
      <top>
        <color indexed="63"/>
      </top>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style="thin"/>
      <top style="double"/>
      <bottom style="double"/>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0">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horizontal="center"/>
    </xf>
    <xf numFmtId="0" fontId="4" fillId="33" borderId="10"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horizontal="center"/>
    </xf>
    <xf numFmtId="0" fontId="4" fillId="0" borderId="13" xfId="0" applyFont="1" applyBorder="1" applyAlignment="1">
      <alignment/>
    </xf>
    <xf numFmtId="49" fontId="5" fillId="0" borderId="14" xfId="58" applyNumberFormat="1" applyFont="1" applyBorder="1" applyAlignment="1">
      <alignment horizontal="left" vertical="top" wrapText="1"/>
      <protection/>
    </xf>
    <xf numFmtId="49" fontId="6" fillId="0" borderId="14" xfId="58" applyNumberFormat="1" applyFont="1" applyBorder="1" applyAlignment="1">
      <alignment vertical="top" wrapText="1"/>
      <protection/>
    </xf>
    <xf numFmtId="4" fontId="6" fillId="0" borderId="14" xfId="58" applyNumberFormat="1" applyFont="1" applyFill="1" applyBorder="1" applyAlignment="1">
      <alignment vertical="top" wrapText="1"/>
      <protection/>
    </xf>
    <xf numFmtId="0" fontId="4" fillId="0" borderId="14" xfId="0" applyFont="1" applyBorder="1" applyAlignment="1">
      <alignment/>
    </xf>
    <xf numFmtId="0" fontId="4" fillId="0" borderId="15" xfId="0" applyFont="1" applyBorder="1" applyAlignment="1">
      <alignment horizontal="center"/>
    </xf>
    <xf numFmtId="49" fontId="5" fillId="0" borderId="14" xfId="58" applyNumberFormat="1" applyFont="1" applyFill="1" applyBorder="1" applyAlignment="1">
      <alignment horizontal="left" vertical="top" wrapText="1"/>
      <protection/>
    </xf>
    <xf numFmtId="49" fontId="6" fillId="0" borderId="14" xfId="58" applyNumberFormat="1" applyFont="1" applyFill="1" applyBorder="1" applyAlignment="1">
      <alignment horizontal="left" vertical="top" wrapText="1"/>
      <protection/>
    </xf>
    <xf numFmtId="49" fontId="6" fillId="34" borderId="14" xfId="58" applyNumberFormat="1" applyFont="1" applyFill="1" applyBorder="1" applyAlignment="1">
      <alignment horizontal="left" vertical="top" wrapText="1"/>
      <protection/>
    </xf>
    <xf numFmtId="49" fontId="6" fillId="34" borderId="14" xfId="58" applyNumberFormat="1" applyFont="1" applyFill="1" applyBorder="1" applyAlignment="1">
      <alignment vertical="top" wrapText="1"/>
      <protection/>
    </xf>
    <xf numFmtId="4" fontId="6" fillId="34" borderId="14" xfId="58" applyNumberFormat="1" applyFont="1" applyFill="1" applyBorder="1" applyAlignment="1">
      <alignment vertical="top" wrapText="1"/>
      <protection/>
    </xf>
    <xf numFmtId="0" fontId="4" fillId="33" borderId="15" xfId="0" applyFont="1" applyFill="1" applyBorder="1" applyAlignment="1">
      <alignment horizontal="center"/>
    </xf>
    <xf numFmtId="49" fontId="6" fillId="0" borderId="14" xfId="58" applyNumberFormat="1" applyFont="1" applyBorder="1" applyAlignment="1">
      <alignment horizontal="left" vertical="top" wrapText="1"/>
      <protection/>
    </xf>
    <xf numFmtId="0" fontId="5" fillId="0" borderId="14" xfId="58" applyNumberFormat="1" applyFont="1" applyBorder="1" applyAlignment="1" applyProtection="1">
      <alignment horizontal="left" vertical="top" wrapText="1"/>
      <protection locked="0"/>
    </xf>
    <xf numFmtId="49" fontId="6" fillId="0" borderId="14" xfId="58" applyNumberFormat="1" applyFont="1" applyFill="1" applyBorder="1" applyAlignment="1">
      <alignment vertical="top" wrapText="1"/>
      <protection/>
    </xf>
    <xf numFmtId="0" fontId="6" fillId="0" borderId="14" xfId="58" applyNumberFormat="1" applyFont="1" applyFill="1" applyBorder="1" applyAlignment="1">
      <alignment horizontal="left" vertical="top" wrapText="1"/>
      <protection/>
    </xf>
    <xf numFmtId="49" fontId="5" fillId="0" borderId="14" xfId="58" applyNumberFormat="1" applyFont="1" applyFill="1" applyBorder="1" applyAlignment="1">
      <alignment vertical="top" wrapText="1"/>
      <protection/>
    </xf>
    <xf numFmtId="0" fontId="6" fillId="0" borderId="14" xfId="58" applyNumberFormat="1" applyFont="1" applyFill="1" applyBorder="1" applyAlignment="1" applyProtection="1">
      <alignment horizontal="left" vertical="top" wrapText="1"/>
      <protection locked="0"/>
    </xf>
    <xf numFmtId="0" fontId="4" fillId="33" borderId="16" xfId="0" applyFont="1" applyFill="1" applyBorder="1" applyAlignment="1">
      <alignment/>
    </xf>
    <xf numFmtId="0" fontId="4" fillId="33" borderId="17" xfId="0" applyFont="1" applyFill="1" applyBorder="1" applyAlignment="1">
      <alignment/>
    </xf>
    <xf numFmtId="0" fontId="4" fillId="0" borderId="18" xfId="0" applyFont="1" applyBorder="1" applyAlignment="1">
      <alignment horizontal="center"/>
    </xf>
    <xf numFmtId="0" fontId="4" fillId="0" borderId="0" xfId="0" applyFont="1" applyAlignment="1">
      <alignment wrapText="1"/>
    </xf>
    <xf numFmtId="0" fontId="4" fillId="33" borderId="19" xfId="0" applyFont="1" applyFill="1" applyBorder="1" applyAlignment="1">
      <alignment/>
    </xf>
    <xf numFmtId="0" fontId="4" fillId="0" borderId="20" xfId="0" applyFont="1" applyBorder="1" applyAlignment="1">
      <alignment horizontal="center"/>
    </xf>
    <xf numFmtId="0" fontId="7" fillId="35" borderId="21" xfId="0" applyFont="1" applyFill="1" applyBorder="1" applyAlignment="1">
      <alignment/>
    </xf>
    <xf numFmtId="0" fontId="7" fillId="35" borderId="22" xfId="0" applyFont="1" applyFill="1" applyBorder="1" applyAlignment="1">
      <alignment/>
    </xf>
    <xf numFmtId="0" fontId="7" fillId="35" borderId="23" xfId="0" applyFont="1" applyFill="1" applyBorder="1" applyAlignment="1">
      <alignment/>
    </xf>
    <xf numFmtId="0" fontId="7" fillId="35" borderId="24" xfId="0" applyFont="1" applyFill="1" applyBorder="1" applyAlignment="1">
      <alignment/>
    </xf>
    <xf numFmtId="0" fontId="7" fillId="35" borderId="0" xfId="0" applyFont="1" applyFill="1" applyBorder="1" applyAlignment="1">
      <alignment/>
    </xf>
    <xf numFmtId="165" fontId="7" fillId="35" borderId="0" xfId="0" applyNumberFormat="1" applyFont="1" applyFill="1" applyBorder="1" applyAlignment="1">
      <alignment/>
    </xf>
    <xf numFmtId="0" fontId="7" fillId="35" borderId="25" xfId="0" applyFont="1" applyFill="1" applyBorder="1" applyAlignment="1">
      <alignment/>
    </xf>
    <xf numFmtId="0" fontId="7" fillId="35" borderId="26" xfId="0" applyFont="1" applyFill="1" applyBorder="1" applyAlignment="1">
      <alignment/>
    </xf>
    <xf numFmtId="0" fontId="7" fillId="35" borderId="27" xfId="0" applyFont="1" applyFill="1" applyBorder="1" applyAlignment="1">
      <alignment/>
    </xf>
    <xf numFmtId="0" fontId="7" fillId="35" borderId="28" xfId="0" applyFont="1" applyFill="1" applyBorder="1" applyAlignment="1">
      <alignment/>
    </xf>
    <xf numFmtId="0" fontId="4" fillId="34" borderId="29" xfId="0" applyFont="1" applyFill="1" applyBorder="1" applyAlignment="1">
      <alignment wrapText="1"/>
    </xf>
    <xf numFmtId="0" fontId="4" fillId="34" borderId="30" xfId="0" applyFont="1" applyFill="1" applyBorder="1" applyAlignment="1">
      <alignment wrapText="1"/>
    </xf>
    <xf numFmtId="0" fontId="4" fillId="34" borderId="30" xfId="0" applyFont="1" applyFill="1" applyBorder="1" applyAlignment="1">
      <alignment wrapText="1"/>
    </xf>
    <xf numFmtId="9" fontId="4" fillId="0" borderId="14" xfId="0" applyNumberFormat="1" applyFont="1" applyBorder="1" applyAlignment="1">
      <alignment/>
    </xf>
    <xf numFmtId="0" fontId="4" fillId="0" borderId="15" xfId="0" applyFont="1" applyBorder="1" applyAlignment="1">
      <alignment horizontal="center"/>
    </xf>
    <xf numFmtId="0" fontId="4" fillId="34" borderId="31" xfId="0" applyFont="1" applyFill="1" applyBorder="1" applyAlignment="1">
      <alignment horizontal="center" wrapText="1"/>
    </xf>
    <xf numFmtId="165" fontId="7" fillId="0" borderId="0" xfId="0" applyNumberFormat="1" applyFont="1" applyFill="1" applyBorder="1" applyAlignment="1">
      <alignment/>
    </xf>
    <xf numFmtId="0" fontId="0" fillId="34" borderId="29" xfId="0"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horizontal="center"/>
    </xf>
    <xf numFmtId="0" fontId="0" fillId="0" borderId="13" xfId="0" applyFont="1" applyBorder="1" applyAlignment="1">
      <alignment/>
    </xf>
    <xf numFmtId="49" fontId="8" fillId="0" borderId="14" xfId="58" applyNumberFormat="1" applyFont="1" applyBorder="1" applyAlignment="1">
      <alignment horizontal="left" vertical="top" wrapText="1"/>
      <protection/>
    </xf>
    <xf numFmtId="49" fontId="9" fillId="0" borderId="14" xfId="58" applyNumberFormat="1" applyFont="1" applyBorder="1" applyAlignment="1">
      <alignment vertical="top" wrapText="1"/>
      <protection/>
    </xf>
    <xf numFmtId="4" fontId="9" fillId="0" borderId="14" xfId="58" applyNumberFormat="1" applyFont="1" applyFill="1" applyBorder="1" applyAlignment="1">
      <alignment vertical="top" wrapText="1"/>
      <protection/>
    </xf>
    <xf numFmtId="0" fontId="0" fillId="0" borderId="14" xfId="0" applyFont="1" applyBorder="1" applyAlignment="1">
      <alignment/>
    </xf>
    <xf numFmtId="0" fontId="0" fillId="0" borderId="15" xfId="0" applyFont="1" applyBorder="1" applyAlignment="1">
      <alignment horizontal="center"/>
    </xf>
    <xf numFmtId="49" fontId="8" fillId="0" borderId="14" xfId="58" applyNumberFormat="1" applyFont="1" applyFill="1" applyBorder="1" applyAlignment="1">
      <alignment horizontal="left" vertical="top" wrapText="1"/>
      <protection/>
    </xf>
    <xf numFmtId="49" fontId="9" fillId="0" borderId="14" xfId="58" applyNumberFormat="1" applyFont="1" applyFill="1" applyBorder="1" applyAlignment="1">
      <alignment horizontal="left" vertical="top" wrapText="1"/>
      <protection/>
    </xf>
    <xf numFmtId="49" fontId="9" fillId="34" borderId="14" xfId="58" applyNumberFormat="1" applyFont="1" applyFill="1" applyBorder="1" applyAlignment="1">
      <alignment horizontal="left" vertical="top" wrapText="1"/>
      <protection/>
    </xf>
    <xf numFmtId="49" fontId="9" fillId="34" borderId="14" xfId="58" applyNumberFormat="1" applyFont="1" applyFill="1" applyBorder="1" applyAlignment="1">
      <alignment vertical="top" wrapText="1"/>
      <protection/>
    </xf>
    <xf numFmtId="4" fontId="9" fillId="34" borderId="14" xfId="58" applyNumberFormat="1" applyFont="1" applyFill="1" applyBorder="1" applyAlignment="1">
      <alignment vertical="top" wrapText="1"/>
      <protection/>
    </xf>
    <xf numFmtId="0" fontId="0" fillId="33" borderId="15" xfId="0" applyFont="1" applyFill="1" applyBorder="1" applyAlignment="1">
      <alignment horizontal="center"/>
    </xf>
    <xf numFmtId="0" fontId="0" fillId="0" borderId="15" xfId="0" applyFont="1" applyFill="1" applyBorder="1" applyAlignment="1">
      <alignment horizontal="center"/>
    </xf>
    <xf numFmtId="49" fontId="9" fillId="0" borderId="14" xfId="58" applyNumberFormat="1" applyFont="1" applyBorder="1" applyAlignment="1">
      <alignment horizontal="left" vertical="top" wrapText="1"/>
      <protection/>
    </xf>
    <xf numFmtId="0" fontId="8" fillId="0" borderId="14" xfId="58" applyNumberFormat="1" applyFont="1" applyBorder="1" applyAlignment="1" applyProtection="1">
      <alignment horizontal="left" vertical="top" wrapText="1"/>
      <protection locked="0"/>
    </xf>
    <xf numFmtId="49" fontId="9" fillId="0" borderId="14" xfId="58" applyNumberFormat="1" applyFont="1" applyFill="1" applyBorder="1" applyAlignment="1">
      <alignment vertical="top" wrapText="1"/>
      <protection/>
    </xf>
    <xf numFmtId="0" fontId="9" fillId="0" borderId="14" xfId="58" applyNumberFormat="1" applyFont="1" applyFill="1" applyBorder="1" applyAlignment="1">
      <alignment horizontal="left" vertical="top" wrapText="1"/>
      <protection/>
    </xf>
    <xf numFmtId="49" fontId="8" fillId="0" borderId="14" xfId="58" applyNumberFormat="1" applyFont="1" applyFill="1" applyBorder="1" applyAlignment="1">
      <alignment vertical="top" wrapText="1"/>
      <protection/>
    </xf>
    <xf numFmtId="0" fontId="9" fillId="0" borderId="14" xfId="58" applyNumberFormat="1" applyFont="1" applyFill="1" applyBorder="1" applyAlignment="1" applyProtection="1">
      <alignment horizontal="left" vertical="top" wrapText="1"/>
      <protection locked="0"/>
    </xf>
    <xf numFmtId="0" fontId="0" fillId="0" borderId="20" xfId="0" applyFont="1" applyBorder="1" applyAlignment="1">
      <alignment horizontal="center"/>
    </xf>
    <xf numFmtId="0" fontId="0" fillId="33" borderId="16" xfId="0" applyFont="1" applyFill="1" applyBorder="1" applyAlignment="1">
      <alignment/>
    </xf>
    <xf numFmtId="0" fontId="0" fillId="33" borderId="17" xfId="0" applyFont="1" applyFill="1" applyBorder="1" applyAlignment="1">
      <alignment/>
    </xf>
    <xf numFmtId="0" fontId="0" fillId="33" borderId="19" xfId="0" applyFont="1" applyFill="1" applyBorder="1" applyAlignment="1">
      <alignment/>
    </xf>
    <xf numFmtId="0" fontId="0" fillId="0" borderId="0" xfId="0" applyFont="1" applyAlignment="1">
      <alignment/>
    </xf>
    <xf numFmtId="0" fontId="0" fillId="0" borderId="0" xfId="0" applyFont="1" applyAlignment="1">
      <alignment horizontal="center"/>
    </xf>
    <xf numFmtId="0" fontId="10" fillId="35" borderId="21" xfId="0" applyFont="1" applyFill="1" applyBorder="1" applyAlignment="1">
      <alignment/>
    </xf>
    <xf numFmtId="0" fontId="10" fillId="35" borderId="22" xfId="0" applyFont="1" applyFill="1" applyBorder="1" applyAlignment="1">
      <alignment/>
    </xf>
    <xf numFmtId="0" fontId="10" fillId="35" borderId="23" xfId="0" applyFont="1" applyFill="1" applyBorder="1" applyAlignment="1">
      <alignment/>
    </xf>
    <xf numFmtId="0" fontId="0" fillId="35" borderId="24" xfId="0" applyFont="1" applyFill="1" applyBorder="1" applyAlignment="1">
      <alignment/>
    </xf>
    <xf numFmtId="0" fontId="0" fillId="35" borderId="0" xfId="0" applyFont="1" applyFill="1" applyBorder="1" applyAlignment="1">
      <alignment/>
    </xf>
    <xf numFmtId="0" fontId="0" fillId="35" borderId="25" xfId="0" applyFont="1" applyFill="1" applyBorder="1" applyAlignment="1">
      <alignment/>
    </xf>
    <xf numFmtId="0" fontId="0" fillId="35" borderId="26" xfId="0" applyFont="1" applyFill="1" applyBorder="1" applyAlignment="1">
      <alignment/>
    </xf>
    <xf numFmtId="0" fontId="0" fillId="35" borderId="27" xfId="0" applyFont="1" applyFill="1" applyBorder="1" applyAlignment="1">
      <alignment/>
    </xf>
    <xf numFmtId="0" fontId="0" fillId="35" borderId="28" xfId="0" applyFont="1" applyFill="1" applyBorder="1" applyAlignment="1">
      <alignment/>
    </xf>
    <xf numFmtId="1" fontId="9" fillId="0" borderId="0" xfId="58" applyNumberFormat="1" applyFont="1" applyFill="1" applyAlignment="1">
      <alignment horizontal="right" vertical="top" wrapText="1"/>
      <protection/>
    </xf>
    <xf numFmtId="49" fontId="9" fillId="0" borderId="0" xfId="58" applyNumberFormat="1" applyFont="1" applyFill="1" applyAlignment="1">
      <alignment horizontal="left" vertical="top" wrapText="1"/>
      <protection/>
    </xf>
    <xf numFmtId="49" fontId="9" fillId="0" borderId="0" xfId="58" applyNumberFormat="1" applyFont="1" applyFill="1" applyAlignment="1">
      <alignment vertical="top" wrapText="1"/>
      <protection/>
    </xf>
    <xf numFmtId="4" fontId="9" fillId="0" borderId="0" xfId="58" applyNumberFormat="1" applyFont="1" applyFill="1" applyAlignment="1">
      <alignment vertical="top" wrapText="1"/>
      <protection/>
    </xf>
    <xf numFmtId="4" fontId="9" fillId="0" borderId="0" xfId="58" applyNumberFormat="1" applyFont="1" applyFill="1" applyBorder="1" applyAlignment="1" applyProtection="1">
      <alignment vertical="top" wrapText="1"/>
      <protection locked="0"/>
    </xf>
    <xf numFmtId="0" fontId="9" fillId="0" borderId="0" xfId="58" applyFont="1">
      <alignment/>
      <protection/>
    </xf>
    <xf numFmtId="49" fontId="9" fillId="0" borderId="0" xfId="58" applyNumberFormat="1" applyFont="1" applyFill="1" applyAlignment="1">
      <alignment horizontal="right" vertical="top"/>
      <protection/>
    </xf>
    <xf numFmtId="1" fontId="9" fillId="0" borderId="0" xfId="58" applyNumberFormat="1" applyFont="1" applyFill="1" applyAlignment="1">
      <alignment horizontal="right" vertical="top"/>
      <protection/>
    </xf>
    <xf numFmtId="49" fontId="8" fillId="0" borderId="0" xfId="58" applyNumberFormat="1" applyFont="1" applyAlignment="1">
      <alignment horizontal="left" vertical="top" wrapText="1"/>
      <protection/>
    </xf>
    <xf numFmtId="49" fontId="9" fillId="0" borderId="0" xfId="58" applyNumberFormat="1" applyFont="1" applyAlignment="1">
      <alignment vertical="top" wrapText="1"/>
      <protection/>
    </xf>
    <xf numFmtId="4" fontId="9" fillId="0" borderId="0" xfId="58" applyNumberFormat="1" applyFont="1" applyFill="1" applyAlignment="1">
      <alignment vertical="top"/>
      <protection/>
    </xf>
    <xf numFmtId="4" fontId="9" fillId="0" borderId="0" xfId="58" applyNumberFormat="1" applyFont="1" applyAlignment="1">
      <alignment vertical="top"/>
      <protection/>
    </xf>
    <xf numFmtId="49" fontId="9" fillId="0" borderId="0" xfId="58" applyNumberFormat="1" applyFont="1" applyAlignment="1">
      <alignment horizontal="left" vertical="top" wrapText="1"/>
      <protection/>
    </xf>
    <xf numFmtId="49" fontId="11" fillId="0" borderId="0" xfId="58" applyNumberFormat="1" applyFont="1" applyAlignment="1">
      <alignment horizontal="left" vertical="top" wrapText="1"/>
      <protection/>
    </xf>
    <xf numFmtId="1" fontId="8" fillId="0" borderId="0" xfId="58" applyNumberFormat="1" applyFont="1" applyFill="1" applyAlignment="1">
      <alignment horizontal="right" vertical="top" wrapText="1"/>
      <protection/>
    </xf>
    <xf numFmtId="49" fontId="8" fillId="0" borderId="0" xfId="58" applyNumberFormat="1" applyFont="1" applyFill="1" applyAlignment="1">
      <alignment horizontal="right" vertical="top"/>
      <protection/>
    </xf>
    <xf numFmtId="1" fontId="8" fillId="0" borderId="0" xfId="58" applyNumberFormat="1" applyFont="1" applyFill="1" applyAlignment="1">
      <alignment horizontal="right" vertical="top"/>
      <protection/>
    </xf>
    <xf numFmtId="49" fontId="8" fillId="0" borderId="0" xfId="58" applyNumberFormat="1" applyFont="1" applyAlignment="1">
      <alignment horizontal="center" vertical="top" wrapText="1"/>
      <protection/>
    </xf>
    <xf numFmtId="49" fontId="8" fillId="0" borderId="0" xfId="58" applyNumberFormat="1" applyFont="1" applyAlignment="1">
      <alignment vertical="top" wrapText="1"/>
      <protection/>
    </xf>
    <xf numFmtId="4" fontId="8" fillId="0" borderId="0" xfId="58" applyNumberFormat="1" applyFont="1" applyFill="1" applyAlignment="1">
      <alignment vertical="top" wrapText="1"/>
      <protection/>
    </xf>
    <xf numFmtId="4" fontId="8" fillId="0" borderId="0" xfId="58" applyNumberFormat="1" applyFont="1" applyAlignment="1">
      <alignment vertical="top"/>
      <protection/>
    </xf>
    <xf numFmtId="0" fontId="8" fillId="0" borderId="0" xfId="58" applyFont="1">
      <alignment/>
      <protection/>
    </xf>
    <xf numFmtId="49" fontId="8" fillId="0" borderId="0" xfId="58" applyNumberFormat="1" applyFont="1" applyAlignment="1">
      <alignment horizontal="right" vertical="top"/>
      <protection/>
    </xf>
    <xf numFmtId="1" fontId="8" fillId="0" borderId="0" xfId="58" applyNumberFormat="1" applyFont="1" applyAlignment="1">
      <alignment horizontal="right" vertical="top"/>
      <protection/>
    </xf>
    <xf numFmtId="1" fontId="8" fillId="0" borderId="0" xfId="58" applyNumberFormat="1" applyFont="1" applyAlignment="1">
      <alignment horizontal="right" vertical="top" wrapText="1"/>
      <protection/>
    </xf>
    <xf numFmtId="49" fontId="9" fillId="0" borderId="0" xfId="58" applyNumberFormat="1" applyFont="1" applyAlignment="1">
      <alignment horizontal="right" vertical="top"/>
      <protection/>
    </xf>
    <xf numFmtId="4" fontId="8" fillId="0" borderId="0" xfId="58" applyNumberFormat="1" applyFont="1" applyFill="1" applyAlignment="1">
      <alignment vertical="top"/>
      <protection/>
    </xf>
    <xf numFmtId="1" fontId="9" fillId="0" borderId="0" xfId="58" applyNumberFormat="1" applyFont="1" applyAlignment="1">
      <alignment horizontal="right" vertical="top"/>
      <protection/>
    </xf>
    <xf numFmtId="1" fontId="9" fillId="0" borderId="0" xfId="58" applyNumberFormat="1" applyFont="1" applyAlignment="1">
      <alignment horizontal="right" vertical="top" wrapText="1"/>
      <protection/>
    </xf>
    <xf numFmtId="49" fontId="8" fillId="0" borderId="0" xfId="58" applyNumberFormat="1" applyFont="1" applyFill="1" applyAlignment="1">
      <alignment horizontal="left" vertical="top" wrapText="1"/>
      <protection/>
    </xf>
    <xf numFmtId="49" fontId="8" fillId="0" borderId="0" xfId="58" applyNumberFormat="1" applyFont="1" applyFill="1" applyAlignment="1">
      <alignment horizontal="right" vertical="top" wrapText="1"/>
      <protection/>
    </xf>
    <xf numFmtId="0" fontId="8" fillId="0" borderId="0" xfId="58" applyNumberFormat="1" applyFont="1" applyFill="1" applyBorder="1" applyAlignment="1">
      <alignment vertical="top" wrapText="1"/>
      <protection/>
    </xf>
    <xf numFmtId="0" fontId="9" fillId="0" borderId="0" xfId="58" applyNumberFormat="1" applyFont="1" applyFill="1" applyAlignment="1">
      <alignment vertical="top" wrapText="1"/>
      <protection/>
    </xf>
    <xf numFmtId="49" fontId="11" fillId="0" borderId="0" xfId="58" applyNumberFormat="1" applyFont="1" applyFill="1" applyAlignment="1">
      <alignment horizontal="left" vertical="top" wrapText="1"/>
      <protection/>
    </xf>
    <xf numFmtId="0" fontId="8" fillId="0" borderId="0" xfId="58" applyNumberFormat="1" applyFont="1" applyFill="1" applyAlignment="1">
      <alignment horizontal="left" vertical="top" wrapText="1"/>
      <protection/>
    </xf>
    <xf numFmtId="49" fontId="8" fillId="0" borderId="0" xfId="58" applyNumberFormat="1" applyFont="1" applyAlignment="1">
      <alignment horizontal="right" vertical="top" wrapText="1"/>
      <protection/>
    </xf>
    <xf numFmtId="0" fontId="8" fillId="0" borderId="0" xfId="58" applyNumberFormat="1" applyFont="1" applyAlignment="1" applyProtection="1">
      <alignment horizontal="left" vertical="top" wrapText="1"/>
      <protection locked="0"/>
    </xf>
    <xf numFmtId="0" fontId="9" fillId="0" borderId="0" xfId="58" applyNumberFormat="1" applyFont="1" applyFill="1" applyAlignment="1">
      <alignment horizontal="left" vertical="top" wrapText="1"/>
      <protection/>
    </xf>
    <xf numFmtId="49" fontId="8" fillId="0" borderId="0" xfId="58" applyNumberFormat="1" applyFont="1" applyFill="1" applyAlignment="1">
      <alignment vertical="top" wrapText="1"/>
      <protection/>
    </xf>
    <xf numFmtId="0" fontId="9" fillId="0" borderId="0" xfId="58" applyNumberFormat="1" applyFont="1" applyFill="1" applyAlignment="1">
      <alignment horizontal="right" vertical="top" wrapText="1"/>
      <protection/>
    </xf>
    <xf numFmtId="0" fontId="9" fillId="0" borderId="0" xfId="58" applyNumberFormat="1" applyFont="1" applyAlignment="1">
      <alignment horizontal="left" vertical="top" wrapText="1"/>
      <protection/>
    </xf>
    <xf numFmtId="0" fontId="9" fillId="0" borderId="0" xfId="58" applyNumberFormat="1" applyFont="1" applyFill="1" applyAlignment="1" applyProtection="1">
      <alignment horizontal="left" vertical="top" wrapText="1"/>
      <protection locked="0"/>
    </xf>
    <xf numFmtId="0" fontId="9" fillId="0" borderId="0" xfId="58" applyNumberFormat="1" applyFont="1" applyAlignment="1" applyProtection="1">
      <alignment horizontal="left" vertical="top" wrapText="1"/>
      <protection locked="0"/>
    </xf>
    <xf numFmtId="0" fontId="9" fillId="0" borderId="0" xfId="58" applyNumberFormat="1" applyFont="1" applyFill="1" applyBorder="1" applyAlignment="1">
      <alignment vertical="top" wrapText="1"/>
      <protection/>
    </xf>
    <xf numFmtId="4" fontId="9" fillId="34" borderId="0" xfId="58" applyNumberFormat="1" applyFont="1" applyFill="1" applyAlignment="1">
      <alignment vertical="top"/>
      <protection/>
    </xf>
    <xf numFmtId="43" fontId="12" fillId="0" borderId="0" xfId="44" applyFont="1" applyAlignment="1">
      <alignment vertical="top"/>
    </xf>
    <xf numFmtId="43" fontId="9" fillId="0" borderId="0" xfId="42" applyFont="1" applyAlignment="1">
      <alignment/>
    </xf>
    <xf numFmtId="49" fontId="8" fillId="0" borderId="0" xfId="58" applyNumberFormat="1" applyFont="1" applyAlignment="1">
      <alignment horizontal="left" vertical="top"/>
      <protection/>
    </xf>
    <xf numFmtId="49" fontId="9" fillId="0" borderId="0" xfId="58" applyNumberFormat="1" applyFont="1" applyAlignment="1">
      <alignment horizontal="left" vertical="top"/>
      <protection/>
    </xf>
    <xf numFmtId="49" fontId="8" fillId="0" borderId="0" xfId="58" applyNumberFormat="1" applyFont="1" applyAlignment="1">
      <alignment vertical="top"/>
      <protection/>
    </xf>
    <xf numFmtId="1" fontId="8" fillId="0" borderId="32" xfId="58" applyNumberFormat="1" applyFont="1" applyFill="1" applyBorder="1" applyAlignment="1">
      <alignment vertical="top" wrapText="1"/>
      <protection/>
    </xf>
    <xf numFmtId="49" fontId="8" fillId="0" borderId="32" xfId="58" applyNumberFormat="1" applyFont="1" applyFill="1" applyBorder="1" applyAlignment="1">
      <alignment vertical="top" wrapText="1"/>
      <protection/>
    </xf>
    <xf numFmtId="4" fontId="8" fillId="0" borderId="32" xfId="58" applyNumberFormat="1" applyFont="1" applyFill="1" applyBorder="1" applyAlignment="1">
      <alignment vertical="top" wrapText="1"/>
      <protection/>
    </xf>
    <xf numFmtId="4" fontId="8" fillId="0" borderId="32" xfId="58" applyNumberFormat="1" applyFont="1" applyFill="1" applyBorder="1" applyAlignment="1" applyProtection="1">
      <alignment vertical="top" wrapText="1"/>
      <protection locked="0"/>
    </xf>
    <xf numFmtId="4" fontId="8" fillId="34" borderId="32" xfId="58" applyNumberFormat="1" applyFont="1" applyFill="1" applyBorder="1" applyAlignment="1" applyProtection="1">
      <alignment vertical="top" wrapText="1"/>
      <protection locked="0"/>
    </xf>
    <xf numFmtId="43" fontId="13" fillId="0" borderId="32" xfId="44" applyFont="1" applyFill="1" applyBorder="1" applyAlignment="1" applyProtection="1">
      <alignment vertical="top" wrapText="1"/>
      <protection locked="0"/>
    </xf>
    <xf numFmtId="43" fontId="13" fillId="0" borderId="32" xfId="44" applyFont="1" applyFill="1" applyBorder="1" applyAlignment="1">
      <alignment vertical="top" wrapText="1"/>
    </xf>
    <xf numFmtId="43" fontId="12" fillId="0" borderId="0" xfId="44" applyFont="1" applyFill="1" applyAlignment="1">
      <alignment vertical="top"/>
    </xf>
    <xf numFmtId="4" fontId="12" fillId="0" borderId="0" xfId="58" applyNumberFormat="1" applyFont="1" applyAlignment="1">
      <alignment vertical="top"/>
      <protection/>
    </xf>
    <xf numFmtId="43" fontId="12" fillId="0" borderId="0" xfId="44" applyFont="1" applyAlignment="1">
      <alignment/>
    </xf>
    <xf numFmtId="49" fontId="8" fillId="0" borderId="33" xfId="58" applyNumberFormat="1" applyFont="1" applyBorder="1" applyAlignment="1">
      <alignment horizontal="right"/>
      <protection/>
    </xf>
    <xf numFmtId="1" fontId="8" fillId="0" borderId="34" xfId="58" applyNumberFormat="1" applyFont="1" applyBorder="1" applyAlignment="1">
      <alignment horizontal="right"/>
      <protection/>
    </xf>
    <xf numFmtId="1" fontId="8" fillId="0" borderId="34" xfId="58" applyNumberFormat="1" applyFont="1" applyBorder="1" applyAlignment="1">
      <alignment horizontal="right" wrapText="1"/>
      <protection/>
    </xf>
    <xf numFmtId="49" fontId="8" fillId="0" borderId="34" xfId="58" applyNumberFormat="1" applyFont="1" applyBorder="1" applyAlignment="1">
      <alignment horizontal="left" wrapText="1"/>
      <protection/>
    </xf>
    <xf numFmtId="49" fontId="8" fillId="0" borderId="34" xfId="58" applyNumberFormat="1" applyFont="1" applyBorder="1" applyAlignment="1">
      <alignment wrapText="1"/>
      <protection/>
    </xf>
    <xf numFmtId="4" fontId="8" fillId="0" borderId="34" xfId="58" applyNumberFormat="1" applyFont="1" applyFill="1" applyBorder="1" applyAlignment="1">
      <alignment wrapText="1"/>
      <protection/>
    </xf>
    <xf numFmtId="4" fontId="9" fillId="0" borderId="34" xfId="58" applyNumberFormat="1" applyFont="1" applyFill="1" applyBorder="1" applyAlignment="1">
      <alignment/>
      <protection/>
    </xf>
    <xf numFmtId="4" fontId="9" fillId="34" borderId="34" xfId="58" applyNumberFormat="1" applyFont="1" applyFill="1" applyBorder="1" applyAlignment="1">
      <alignment/>
      <protection/>
    </xf>
    <xf numFmtId="43" fontId="12" fillId="0" borderId="34" xfId="44" applyFont="1" applyFill="1" applyBorder="1" applyAlignment="1">
      <alignment/>
    </xf>
    <xf numFmtId="4" fontId="8" fillId="0" borderId="34" xfId="58" applyNumberFormat="1" applyFont="1" applyBorder="1" applyAlignment="1">
      <alignment/>
      <protection/>
    </xf>
    <xf numFmtId="4" fontId="8" fillId="34" borderId="34" xfId="58" applyNumberFormat="1" applyFont="1" applyFill="1" applyBorder="1" applyAlignment="1">
      <alignment/>
      <protection/>
    </xf>
    <xf numFmtId="43" fontId="13" fillId="0" borderId="34" xfId="44" applyFont="1" applyBorder="1" applyAlignment="1">
      <alignment/>
    </xf>
    <xf numFmtId="4" fontId="13" fillId="0" borderId="35" xfId="58" applyNumberFormat="1" applyFont="1" applyBorder="1" applyAlignment="1">
      <alignment/>
      <protection/>
    </xf>
    <xf numFmtId="43" fontId="13" fillId="0" borderId="36" xfId="44" applyFont="1" applyBorder="1" applyAlignment="1">
      <alignment/>
    </xf>
    <xf numFmtId="43" fontId="8" fillId="0" borderId="0" xfId="42" applyFont="1" applyAlignment="1">
      <alignment/>
    </xf>
    <xf numFmtId="49" fontId="8" fillId="0" borderId="37" xfId="58" applyNumberFormat="1" applyFont="1" applyBorder="1" applyAlignment="1">
      <alignment horizontal="right"/>
      <protection/>
    </xf>
    <xf numFmtId="1" fontId="8" fillId="0" borderId="14" xfId="58" applyNumberFormat="1" applyFont="1" applyBorder="1" applyAlignment="1">
      <alignment horizontal="right"/>
      <protection/>
    </xf>
    <xf numFmtId="1" fontId="8" fillId="0" borderId="14" xfId="58" applyNumberFormat="1" applyFont="1" applyBorder="1" applyAlignment="1">
      <alignment horizontal="right" wrapText="1"/>
      <protection/>
    </xf>
    <xf numFmtId="49" fontId="8" fillId="0" borderId="14" xfId="58" applyNumberFormat="1" applyFont="1" applyBorder="1" applyAlignment="1">
      <alignment horizontal="left" wrapText="1"/>
      <protection/>
    </xf>
    <xf numFmtId="49" fontId="8" fillId="0" borderId="14" xfId="58" applyNumberFormat="1" applyFont="1" applyBorder="1" applyAlignment="1">
      <alignment wrapText="1"/>
      <protection/>
    </xf>
    <xf numFmtId="4" fontId="8" fillId="0" borderId="14" xfId="58" applyNumberFormat="1" applyFont="1" applyFill="1" applyBorder="1" applyAlignment="1">
      <alignment wrapText="1"/>
      <protection/>
    </xf>
    <xf numFmtId="4" fontId="9" fillId="0" borderId="14" xfId="58" applyNumberFormat="1" applyFont="1" applyFill="1" applyBorder="1" applyAlignment="1">
      <alignment/>
      <protection/>
    </xf>
    <xf numFmtId="4" fontId="9" fillId="34" borderId="14" xfId="58" applyNumberFormat="1" applyFont="1" applyFill="1" applyBorder="1" applyAlignment="1">
      <alignment/>
      <protection/>
    </xf>
    <xf numFmtId="43" fontId="12" fillId="0" borderId="14" xfId="44" applyFont="1" applyFill="1" applyBorder="1" applyAlignment="1">
      <alignment/>
    </xf>
    <xf numFmtId="4" fontId="8" fillId="0" borderId="14" xfId="58" applyNumberFormat="1" applyFont="1" applyBorder="1" applyAlignment="1">
      <alignment/>
      <protection/>
    </xf>
    <xf numFmtId="4" fontId="8" fillId="34" borderId="14" xfId="58" applyNumberFormat="1" applyFont="1" applyFill="1" applyBorder="1" applyAlignment="1">
      <alignment/>
      <protection/>
    </xf>
    <xf numFmtId="43" fontId="13" fillId="0" borderId="14" xfId="44" applyFont="1" applyBorder="1" applyAlignment="1">
      <alignment/>
    </xf>
    <xf numFmtId="4" fontId="13" fillId="0" borderId="38" xfId="58" applyNumberFormat="1" applyFont="1" applyBorder="1" applyAlignment="1">
      <alignment/>
      <protection/>
    </xf>
    <xf numFmtId="43" fontId="13" fillId="0" borderId="39" xfId="44" applyFont="1" applyBorder="1" applyAlignment="1">
      <alignment/>
    </xf>
    <xf numFmtId="49" fontId="9" fillId="0" borderId="37" xfId="58" applyNumberFormat="1" applyFont="1" applyBorder="1" applyAlignment="1">
      <alignment horizontal="right"/>
      <protection/>
    </xf>
    <xf numFmtId="1" fontId="9" fillId="0" borderId="14" xfId="58" applyNumberFormat="1" applyFont="1" applyBorder="1" applyAlignment="1">
      <alignment horizontal="right"/>
      <protection/>
    </xf>
    <xf numFmtId="1" fontId="9" fillId="0" borderId="14" xfId="58" applyNumberFormat="1" applyFont="1" applyBorder="1" applyAlignment="1">
      <alignment horizontal="right" wrapText="1"/>
      <protection/>
    </xf>
    <xf numFmtId="49" fontId="9" fillId="0" borderId="14" xfId="58" applyNumberFormat="1" applyFont="1" applyBorder="1" applyAlignment="1">
      <alignment wrapText="1"/>
      <protection/>
    </xf>
    <xf numFmtId="4" fontId="9" fillId="0" borderId="14" xfId="58" applyNumberFormat="1" applyFont="1" applyFill="1" applyBorder="1" applyAlignment="1">
      <alignment wrapText="1"/>
      <protection/>
    </xf>
    <xf numFmtId="4" fontId="9" fillId="0" borderId="14" xfId="58" applyNumberFormat="1" applyFont="1" applyBorder="1" applyAlignment="1">
      <alignment/>
      <protection/>
    </xf>
    <xf numFmtId="43" fontId="12" fillId="0" borderId="14" xfId="44" applyFont="1" applyBorder="1" applyAlignment="1">
      <alignment/>
    </xf>
    <xf numFmtId="43" fontId="12" fillId="0" borderId="38" xfId="44" applyFont="1" applyBorder="1" applyAlignment="1">
      <alignment/>
    </xf>
    <xf numFmtId="43" fontId="12" fillId="0" borderId="39" xfId="44" applyFont="1" applyBorder="1" applyAlignment="1">
      <alignment/>
    </xf>
    <xf numFmtId="49" fontId="8" fillId="0" borderId="14" xfId="58" applyNumberFormat="1" applyFont="1" applyFill="1" applyBorder="1" applyAlignment="1">
      <alignment horizontal="left" wrapText="1"/>
      <protection/>
    </xf>
    <xf numFmtId="49" fontId="9" fillId="0" borderId="14" xfId="58" applyNumberFormat="1" applyFont="1" applyFill="1" applyBorder="1" applyAlignment="1">
      <alignment horizontal="left" wrapText="1"/>
      <protection/>
    </xf>
    <xf numFmtId="43" fontId="12" fillId="0" borderId="39" xfId="44" applyFont="1" applyBorder="1" applyAlignment="1">
      <alignment vertical="top"/>
    </xf>
    <xf numFmtId="49" fontId="8" fillId="0" borderId="14" xfId="58" applyNumberFormat="1" applyFont="1" applyFill="1" applyBorder="1" applyAlignment="1">
      <alignment horizontal="right" wrapText="1"/>
      <protection/>
    </xf>
    <xf numFmtId="0" fontId="8" fillId="0" borderId="14" xfId="58" applyNumberFormat="1" applyFont="1" applyFill="1" applyBorder="1" applyAlignment="1">
      <alignment wrapText="1"/>
      <protection/>
    </xf>
    <xf numFmtId="0" fontId="9" fillId="0" borderId="14" xfId="58" applyNumberFormat="1" applyFont="1" applyFill="1" applyBorder="1" applyAlignment="1">
      <alignment wrapText="1"/>
      <protection/>
    </xf>
    <xf numFmtId="0" fontId="9" fillId="0" borderId="14" xfId="58" applyFont="1" applyBorder="1">
      <alignment/>
      <protection/>
    </xf>
    <xf numFmtId="49" fontId="9" fillId="0" borderId="14" xfId="58" applyNumberFormat="1" applyFont="1" applyBorder="1" applyAlignment="1">
      <alignment horizontal="left" wrapText="1"/>
      <protection/>
    </xf>
    <xf numFmtId="0" fontId="8" fillId="0" borderId="14" xfId="58" applyNumberFormat="1" applyFont="1" applyFill="1" applyBorder="1" applyAlignment="1">
      <alignment horizontal="left" wrapText="1"/>
      <protection/>
    </xf>
    <xf numFmtId="49" fontId="8" fillId="0" borderId="14" xfId="58" applyNumberFormat="1" applyFont="1" applyBorder="1" applyAlignment="1">
      <alignment horizontal="right" wrapText="1"/>
      <protection/>
    </xf>
    <xf numFmtId="0" fontId="8" fillId="0" borderId="14" xfId="58" applyNumberFormat="1" applyFont="1" applyBorder="1" applyAlignment="1" applyProtection="1">
      <alignment horizontal="left" wrapText="1"/>
      <protection locked="0"/>
    </xf>
    <xf numFmtId="49" fontId="8" fillId="0" borderId="37" xfId="58" applyNumberFormat="1" applyFont="1" applyFill="1" applyBorder="1" applyAlignment="1">
      <alignment horizontal="right"/>
      <protection/>
    </xf>
    <xf numFmtId="1" fontId="8" fillId="0" borderId="14" xfId="58" applyNumberFormat="1" applyFont="1" applyFill="1" applyBorder="1" applyAlignment="1">
      <alignment horizontal="right"/>
      <protection/>
    </xf>
    <xf numFmtId="0" fontId="9" fillId="0" borderId="14" xfId="58" applyNumberFormat="1" applyFont="1" applyFill="1" applyBorder="1" applyAlignment="1">
      <alignment horizontal="left" wrapText="1"/>
      <protection/>
    </xf>
    <xf numFmtId="49" fontId="9" fillId="0" borderId="14" xfId="58" applyNumberFormat="1" applyFont="1" applyFill="1" applyBorder="1" applyAlignment="1">
      <alignment wrapText="1"/>
      <protection/>
    </xf>
    <xf numFmtId="1" fontId="8" fillId="0" borderId="14" xfId="58" applyNumberFormat="1" applyFont="1" applyFill="1" applyBorder="1" applyAlignment="1">
      <alignment horizontal="right" wrapText="1"/>
      <protection/>
    </xf>
    <xf numFmtId="49" fontId="8" fillId="0" borderId="14" xfId="58" applyNumberFormat="1" applyFont="1" applyFill="1" applyBorder="1" applyAlignment="1">
      <alignment wrapText="1"/>
      <protection/>
    </xf>
    <xf numFmtId="49" fontId="9" fillId="0" borderId="37" xfId="58" applyNumberFormat="1" applyFont="1" applyFill="1" applyBorder="1" applyAlignment="1">
      <alignment horizontal="right"/>
      <protection/>
    </xf>
    <xf numFmtId="1" fontId="9" fillId="0" borderId="14" xfId="58" applyNumberFormat="1" applyFont="1" applyFill="1" applyBorder="1" applyAlignment="1">
      <alignment horizontal="right"/>
      <protection/>
    </xf>
    <xf numFmtId="1" fontId="9" fillId="0" borderId="14" xfId="58" applyNumberFormat="1" applyFont="1" applyFill="1" applyBorder="1" applyAlignment="1">
      <alignment horizontal="right" wrapText="1"/>
      <protection/>
    </xf>
    <xf numFmtId="43" fontId="8" fillId="0" borderId="39" xfId="44" applyFont="1" applyBorder="1" applyAlignment="1">
      <alignment/>
    </xf>
    <xf numFmtId="0" fontId="9" fillId="0" borderId="14" xfId="58" applyNumberFormat="1" applyFont="1" applyFill="1" applyBorder="1" applyAlignment="1">
      <alignment horizontal="right" wrapText="1"/>
      <protection/>
    </xf>
    <xf numFmtId="49" fontId="8" fillId="0" borderId="37" xfId="58" applyNumberFormat="1" applyFont="1" applyFill="1" applyBorder="1" applyAlignment="1">
      <alignment horizontal="right" vertical="top"/>
      <protection/>
    </xf>
    <xf numFmtId="1" fontId="8" fillId="0" borderId="14" xfId="58" applyNumberFormat="1" applyFont="1" applyFill="1" applyBorder="1" applyAlignment="1">
      <alignment horizontal="right" vertical="top"/>
      <protection/>
    </xf>
    <xf numFmtId="1" fontId="8" fillId="0" borderId="14" xfId="58" applyNumberFormat="1" applyFont="1" applyFill="1" applyBorder="1" applyAlignment="1">
      <alignment horizontal="right" vertical="top" wrapText="1"/>
      <protection/>
    </xf>
    <xf numFmtId="0" fontId="8" fillId="0" borderId="14" xfId="58" applyNumberFormat="1" applyFont="1" applyFill="1" applyBorder="1" applyAlignment="1">
      <alignment horizontal="left" vertical="top" wrapText="1"/>
      <protection/>
    </xf>
    <xf numFmtId="4" fontId="8" fillId="0" borderId="14" xfId="58" applyNumberFormat="1" applyFont="1" applyFill="1" applyBorder="1" applyAlignment="1">
      <alignment vertical="top" wrapText="1"/>
      <protection/>
    </xf>
    <xf numFmtId="4" fontId="8" fillId="0" borderId="14" xfId="58" applyNumberFormat="1" applyFont="1" applyFill="1" applyBorder="1" applyAlignment="1">
      <alignment vertical="top"/>
      <protection/>
    </xf>
    <xf numFmtId="4" fontId="8" fillId="34" borderId="14" xfId="58" applyNumberFormat="1" applyFont="1" applyFill="1" applyBorder="1" applyAlignment="1">
      <alignment vertical="top"/>
      <protection/>
    </xf>
    <xf numFmtId="4" fontId="8" fillId="0" borderId="14" xfId="58" applyNumberFormat="1" applyFont="1" applyBorder="1" applyAlignment="1">
      <alignment vertical="top"/>
      <protection/>
    </xf>
    <xf numFmtId="0" fontId="8" fillId="34" borderId="14" xfId="58" applyFont="1" applyFill="1" applyBorder="1">
      <alignment/>
      <protection/>
    </xf>
    <xf numFmtId="0" fontId="8" fillId="0" borderId="14" xfId="58" applyFont="1" applyBorder="1">
      <alignment/>
      <protection/>
    </xf>
    <xf numFmtId="49" fontId="9" fillId="0" borderId="37" xfId="58" applyNumberFormat="1" applyFont="1" applyFill="1" applyBorder="1" applyAlignment="1">
      <alignment horizontal="right" vertical="top"/>
      <protection/>
    </xf>
    <xf numFmtId="1" fontId="9" fillId="0" borderId="14" xfId="58" applyNumberFormat="1" applyFont="1" applyFill="1" applyBorder="1" applyAlignment="1">
      <alignment horizontal="right" vertical="top"/>
      <protection/>
    </xf>
    <xf numFmtId="1" fontId="9" fillId="0" borderId="14" xfId="58" applyNumberFormat="1" applyFont="1" applyFill="1" applyBorder="1" applyAlignment="1">
      <alignment horizontal="right" vertical="top" wrapText="1"/>
      <protection/>
    </xf>
    <xf numFmtId="4" fontId="9" fillId="0" borderId="14" xfId="58" applyNumberFormat="1" applyFont="1" applyFill="1" applyBorder="1" applyAlignment="1">
      <alignment vertical="top"/>
      <protection/>
    </xf>
    <xf numFmtId="43" fontId="12" fillId="0" borderId="39" xfId="44" applyFont="1" applyBorder="1" applyAlignment="1">
      <alignment horizontal="left" vertical="top" wrapText="1"/>
    </xf>
    <xf numFmtId="0" fontId="9" fillId="0" borderId="14" xfId="58" applyNumberFormat="1" applyFont="1" applyFill="1" applyBorder="1" applyAlignment="1" applyProtection="1">
      <alignment horizontal="left" wrapText="1"/>
      <protection locked="0"/>
    </xf>
    <xf numFmtId="0" fontId="9" fillId="0" borderId="14" xfId="58" applyNumberFormat="1" applyFont="1" applyBorder="1" applyAlignment="1" applyProtection="1">
      <alignment horizontal="left" wrapText="1"/>
      <protection locked="0"/>
    </xf>
    <xf numFmtId="0" fontId="9" fillId="0" borderId="37" xfId="58" applyFont="1" applyBorder="1" applyAlignment="1">
      <alignment/>
      <protection/>
    </xf>
    <xf numFmtId="0" fontId="9" fillId="0" borderId="14" xfId="58" applyFont="1" applyBorder="1" applyAlignment="1">
      <alignment/>
      <protection/>
    </xf>
    <xf numFmtId="4" fontId="12" fillId="0" borderId="14" xfId="58" applyNumberFormat="1" applyFont="1" applyFill="1" applyBorder="1" applyAlignment="1">
      <alignment/>
      <protection/>
    </xf>
    <xf numFmtId="43" fontId="12" fillId="34" borderId="14" xfId="44" applyFont="1" applyFill="1" applyBorder="1" applyAlignment="1">
      <alignment/>
    </xf>
    <xf numFmtId="4" fontId="12" fillId="34" borderId="14" xfId="58" applyNumberFormat="1" applyFont="1" applyFill="1" applyBorder="1" applyAlignment="1">
      <alignment/>
      <protection/>
    </xf>
    <xf numFmtId="43" fontId="12" fillId="0" borderId="40" xfId="44" applyFont="1" applyBorder="1" applyAlignment="1">
      <alignment/>
    </xf>
    <xf numFmtId="4" fontId="12" fillId="0" borderId="14" xfId="58" applyNumberFormat="1" applyFont="1" applyBorder="1" applyAlignment="1">
      <alignment/>
      <protection/>
    </xf>
    <xf numFmtId="43" fontId="12" fillId="34" borderId="40" xfId="44" applyFont="1" applyFill="1" applyBorder="1" applyAlignment="1">
      <alignment/>
    </xf>
    <xf numFmtId="43" fontId="9" fillId="34" borderId="14" xfId="44" applyFont="1" applyFill="1" applyBorder="1" applyAlignment="1">
      <alignment vertical="top"/>
    </xf>
    <xf numFmtId="49" fontId="9" fillId="0" borderId="41" xfId="58" applyNumberFormat="1" applyFont="1" applyFill="1" applyBorder="1" applyAlignment="1">
      <alignment horizontal="right"/>
      <protection/>
    </xf>
    <xf numFmtId="1" fontId="9" fillId="0" borderId="42" xfId="58" applyNumberFormat="1" applyFont="1" applyFill="1" applyBorder="1" applyAlignment="1">
      <alignment horizontal="right"/>
      <protection/>
    </xf>
    <xf numFmtId="1" fontId="9" fillId="0" borderId="42" xfId="58" applyNumberFormat="1" applyFont="1" applyFill="1" applyBorder="1" applyAlignment="1">
      <alignment horizontal="right" wrapText="1"/>
      <protection/>
    </xf>
    <xf numFmtId="49" fontId="8" fillId="0" borderId="42" xfId="58" applyNumberFormat="1" applyFont="1" applyFill="1" applyBorder="1" applyAlignment="1">
      <alignment horizontal="left" wrapText="1"/>
      <protection/>
    </xf>
    <xf numFmtId="49" fontId="9" fillId="0" borderId="42" xfId="58" applyNumberFormat="1" applyFont="1" applyFill="1" applyBorder="1" applyAlignment="1">
      <alignment wrapText="1"/>
      <protection/>
    </xf>
    <xf numFmtId="4" fontId="9" fillId="0" borderId="42" xfId="58" applyNumberFormat="1" applyFont="1" applyFill="1" applyBorder="1" applyAlignment="1">
      <alignment wrapText="1"/>
      <protection/>
    </xf>
    <xf numFmtId="4" fontId="12" fillId="0" borderId="42" xfId="58" applyNumberFormat="1" applyFont="1" applyBorder="1" applyAlignment="1">
      <alignment/>
      <protection/>
    </xf>
    <xf numFmtId="43" fontId="12" fillId="34" borderId="43" xfId="44" applyFont="1" applyFill="1" applyBorder="1" applyAlignment="1">
      <alignment/>
    </xf>
    <xf numFmtId="43" fontId="12" fillId="0" borderId="44" xfId="44" applyFont="1" applyBorder="1" applyAlignment="1">
      <alignment/>
    </xf>
    <xf numFmtId="49" fontId="8" fillId="0" borderId="45" xfId="58" applyNumberFormat="1" applyFont="1" applyFill="1" applyBorder="1" applyAlignment="1">
      <alignment horizontal="right"/>
      <protection/>
    </xf>
    <xf numFmtId="1" fontId="8" fillId="0" borderId="46" xfId="58" applyNumberFormat="1" applyFont="1" applyFill="1" applyBorder="1" applyAlignment="1">
      <alignment horizontal="right"/>
      <protection/>
    </xf>
    <xf numFmtId="1" fontId="8" fillId="0" borderId="46" xfId="58" applyNumberFormat="1" applyFont="1" applyFill="1" applyBorder="1" applyAlignment="1">
      <alignment horizontal="right" wrapText="1"/>
      <protection/>
    </xf>
    <xf numFmtId="49" fontId="8" fillId="0" borderId="46" xfId="58" applyNumberFormat="1" applyFont="1" applyFill="1" applyBorder="1" applyAlignment="1">
      <alignment horizontal="right" wrapText="1"/>
      <protection/>
    </xf>
    <xf numFmtId="49" fontId="8" fillId="0" borderId="46" xfId="58" applyNumberFormat="1" applyFont="1" applyFill="1" applyBorder="1" applyAlignment="1">
      <alignment wrapText="1"/>
      <protection/>
    </xf>
    <xf numFmtId="4" fontId="8" fillId="0" borderId="46" xfId="58" applyNumberFormat="1" applyFont="1" applyFill="1" applyBorder="1" applyAlignment="1">
      <alignment wrapText="1"/>
      <protection/>
    </xf>
    <xf numFmtId="4" fontId="9" fillId="0" borderId="46" xfId="58" applyNumberFormat="1" applyFont="1" applyFill="1" applyBorder="1" applyAlignment="1">
      <alignment/>
      <protection/>
    </xf>
    <xf numFmtId="4" fontId="9" fillId="34" borderId="46" xfId="58" applyNumberFormat="1" applyFont="1" applyFill="1" applyBorder="1" applyAlignment="1">
      <alignment/>
      <protection/>
    </xf>
    <xf numFmtId="4" fontId="9" fillId="0" borderId="46" xfId="58" applyNumberFormat="1" applyFont="1" applyBorder="1" applyAlignment="1">
      <alignment/>
      <protection/>
    </xf>
    <xf numFmtId="4" fontId="9" fillId="0" borderId="47" xfId="58" applyNumberFormat="1" applyFont="1" applyBorder="1" applyAlignment="1">
      <alignment/>
      <protection/>
    </xf>
    <xf numFmtId="43" fontId="12" fillId="0" borderId="48" xfId="44" applyFont="1" applyBorder="1" applyAlignment="1">
      <alignment/>
    </xf>
    <xf numFmtId="2" fontId="9" fillId="0" borderId="0" xfId="58" applyNumberFormat="1" applyFont="1" applyAlignment="1">
      <alignment horizontal="left" vertical="top" wrapText="1"/>
      <protection/>
    </xf>
    <xf numFmtId="0" fontId="8" fillId="0" borderId="0" xfId="58" applyFont="1" applyAlignment="1">
      <alignment horizontal="center"/>
      <protection/>
    </xf>
    <xf numFmtId="0" fontId="9" fillId="0" borderId="0" xfId="58" applyFont="1" applyAlignment="1">
      <alignment wrapText="1"/>
      <protection/>
    </xf>
    <xf numFmtId="0" fontId="9" fillId="0" borderId="49" xfId="58" applyFont="1" applyBorder="1" applyAlignment="1">
      <alignment wrapText="1"/>
      <protection/>
    </xf>
    <xf numFmtId="0" fontId="9" fillId="0" borderId="50" xfId="58" applyFont="1" applyBorder="1" applyAlignment="1">
      <alignment wrapText="1"/>
      <protection/>
    </xf>
    <xf numFmtId="0" fontId="9" fillId="36" borderId="51" xfId="58" applyFont="1" applyFill="1" applyBorder="1" applyAlignment="1">
      <alignment wrapText="1"/>
      <protection/>
    </xf>
    <xf numFmtId="43" fontId="12" fillId="36" borderId="51" xfId="44" applyFont="1" applyFill="1" applyBorder="1" applyAlignment="1">
      <alignment wrapText="1"/>
    </xf>
    <xf numFmtId="0" fontId="9" fillId="0" borderId="52" xfId="58" applyFont="1" applyBorder="1">
      <alignment/>
      <protection/>
    </xf>
    <xf numFmtId="0" fontId="9" fillId="0" borderId="53" xfId="58" applyFont="1" applyBorder="1">
      <alignment/>
      <protection/>
    </xf>
    <xf numFmtId="4" fontId="9" fillId="36" borderId="54" xfId="58" applyNumberFormat="1" applyFont="1" applyFill="1" applyBorder="1">
      <alignment/>
      <protection/>
    </xf>
    <xf numFmtId="43" fontId="12" fillId="36" borderId="35" xfId="44" applyFont="1" applyFill="1" applyBorder="1" applyAlignment="1">
      <alignment/>
    </xf>
    <xf numFmtId="43" fontId="9" fillId="0" borderId="0" xfId="58" applyNumberFormat="1" applyFont="1">
      <alignment/>
      <protection/>
    </xf>
    <xf numFmtId="0" fontId="9" fillId="0" borderId="37" xfId="58" applyFont="1" applyBorder="1">
      <alignment/>
      <protection/>
    </xf>
    <xf numFmtId="4" fontId="9" fillId="36" borderId="38" xfId="58" applyNumberFormat="1" applyFont="1" applyFill="1" applyBorder="1">
      <alignment/>
      <protection/>
    </xf>
    <xf numFmtId="43" fontId="12" fillId="36" borderId="38" xfId="44" applyFont="1" applyFill="1" applyBorder="1" applyAlignment="1">
      <alignment/>
    </xf>
    <xf numFmtId="4" fontId="9" fillId="36" borderId="14" xfId="58" applyNumberFormat="1" applyFont="1" applyFill="1" applyBorder="1">
      <alignment/>
      <protection/>
    </xf>
    <xf numFmtId="0" fontId="9" fillId="0" borderId="45" xfId="58" applyFont="1" applyBorder="1">
      <alignment/>
      <protection/>
    </xf>
    <xf numFmtId="0" fontId="9" fillId="0" borderId="46" xfId="58" applyFont="1" applyBorder="1">
      <alignment/>
      <protection/>
    </xf>
    <xf numFmtId="4" fontId="9" fillId="36" borderId="46" xfId="58" applyNumberFormat="1" applyFont="1" applyFill="1" applyBorder="1">
      <alignment/>
      <protection/>
    </xf>
    <xf numFmtId="43" fontId="12" fillId="36" borderId="47" xfId="44" applyFont="1" applyFill="1" applyBorder="1" applyAlignment="1">
      <alignment/>
    </xf>
    <xf numFmtId="0" fontId="9" fillId="0" borderId="33" xfId="58" applyFont="1" applyBorder="1">
      <alignment/>
      <protection/>
    </xf>
    <xf numFmtId="0" fontId="9" fillId="0" borderId="55" xfId="58" applyFont="1" applyBorder="1">
      <alignment/>
      <protection/>
    </xf>
    <xf numFmtId="0" fontId="9" fillId="0" borderId="34" xfId="58" applyFont="1" applyBorder="1">
      <alignment/>
      <protection/>
    </xf>
    <xf numFmtId="0" fontId="9" fillId="0" borderId="56" xfId="58" applyFont="1" applyBorder="1">
      <alignment/>
      <protection/>
    </xf>
    <xf numFmtId="0" fontId="9" fillId="0" borderId="42" xfId="58" applyFont="1" applyBorder="1">
      <alignment/>
      <protection/>
    </xf>
    <xf numFmtId="0" fontId="9" fillId="0" borderId="57" xfId="58" applyFont="1" applyBorder="1">
      <alignment/>
      <protection/>
    </xf>
    <xf numFmtId="0" fontId="9" fillId="0" borderId="41" xfId="58" applyFont="1" applyBorder="1">
      <alignment/>
      <protection/>
    </xf>
    <xf numFmtId="0" fontId="9" fillId="0" borderId="58" xfId="58" applyFont="1" applyBorder="1">
      <alignment/>
      <protection/>
    </xf>
    <xf numFmtId="0" fontId="9" fillId="0" borderId="0" xfId="58" applyFont="1" applyBorder="1">
      <alignment/>
      <protection/>
    </xf>
    <xf numFmtId="4" fontId="9" fillId="0" borderId="0" xfId="58" applyNumberFormat="1" applyFont="1" applyBorder="1">
      <alignment/>
      <protection/>
    </xf>
    <xf numFmtId="43" fontId="12" fillId="0" borderId="0" xfId="44" applyFont="1" applyBorder="1" applyAlignment="1">
      <alignment/>
    </xf>
    <xf numFmtId="0" fontId="9" fillId="37" borderId="0" xfId="58" applyFont="1" applyFill="1">
      <alignment/>
      <protection/>
    </xf>
    <xf numFmtId="0" fontId="14" fillId="37" borderId="0" xfId="58" applyFont="1" applyFill="1">
      <alignment/>
      <protection/>
    </xf>
    <xf numFmtId="0" fontId="12" fillId="36" borderId="51" xfId="58" applyFont="1" applyFill="1" applyBorder="1" applyAlignment="1">
      <alignment wrapText="1"/>
      <protection/>
    </xf>
    <xf numFmtId="43" fontId="12" fillId="36" borderId="35" xfId="58" applyNumberFormat="1" applyFont="1" applyFill="1" applyBorder="1">
      <alignment/>
      <protection/>
    </xf>
    <xf numFmtId="43" fontId="12" fillId="36" borderId="38" xfId="58" applyNumberFormat="1" applyFont="1" applyFill="1" applyBorder="1">
      <alignment/>
      <protection/>
    </xf>
    <xf numFmtId="43" fontId="12" fillId="36" borderId="47" xfId="58" applyNumberFormat="1" applyFont="1" applyFill="1" applyBorder="1">
      <alignment/>
      <protection/>
    </xf>
    <xf numFmtId="0" fontId="9" fillId="34" borderId="32" xfId="58" applyFont="1" applyFill="1" applyBorder="1" applyAlignment="1">
      <alignment wrapText="1"/>
      <protection/>
    </xf>
    <xf numFmtId="43" fontId="9" fillId="34" borderId="36" xfId="58" applyNumberFormat="1" applyFont="1" applyFill="1" applyBorder="1">
      <alignment/>
      <protection/>
    </xf>
    <xf numFmtId="43" fontId="9" fillId="34" borderId="39" xfId="58" applyNumberFormat="1" applyFont="1" applyFill="1" applyBorder="1">
      <alignment/>
      <protection/>
    </xf>
    <xf numFmtId="43" fontId="9" fillId="34" borderId="48" xfId="58" applyNumberFormat="1" applyFont="1" applyFill="1" applyBorder="1">
      <alignment/>
      <protection/>
    </xf>
    <xf numFmtId="43" fontId="12" fillId="0" borderId="59" xfId="44" applyFont="1" applyBorder="1" applyAlignment="1">
      <alignment wrapText="1"/>
    </xf>
    <xf numFmtId="43" fontId="12" fillId="0" borderId="60" xfId="44" applyFont="1" applyBorder="1" applyAlignment="1">
      <alignment/>
    </xf>
    <xf numFmtId="43" fontId="12" fillId="0" borderId="40" xfId="44" applyFont="1" applyBorder="1" applyAlignment="1">
      <alignment/>
    </xf>
    <xf numFmtId="43" fontId="12" fillId="0" borderId="61" xfId="44" applyFont="1" applyBorder="1" applyAlignment="1">
      <alignment/>
    </xf>
    <xf numFmtId="0" fontId="9" fillId="36" borderId="62" xfId="58" applyFont="1" applyFill="1" applyBorder="1" applyAlignment="1">
      <alignment wrapText="1"/>
      <protection/>
    </xf>
    <xf numFmtId="4" fontId="9" fillId="36" borderId="63" xfId="58" applyNumberFormat="1" applyFont="1" applyFill="1" applyBorder="1">
      <alignment/>
      <protection/>
    </xf>
    <xf numFmtId="4" fontId="9" fillId="36" borderId="64" xfId="58" applyNumberFormat="1" applyFont="1" applyFill="1" applyBorder="1">
      <alignment/>
      <protection/>
    </xf>
    <xf numFmtId="4" fontId="9" fillId="36" borderId="65" xfId="58" applyNumberFormat="1" applyFont="1" applyFill="1" applyBorder="1">
      <alignment/>
      <protection/>
    </xf>
    <xf numFmtId="4" fontId="9" fillId="36" borderId="66" xfId="58" applyNumberFormat="1" applyFont="1" applyFill="1" applyBorder="1">
      <alignment/>
      <protection/>
    </xf>
    <xf numFmtId="43" fontId="12" fillId="0" borderId="67" xfId="44" applyFont="1" applyBorder="1" applyAlignment="1">
      <alignment wrapText="1"/>
    </xf>
    <xf numFmtId="43" fontId="12" fillId="0" borderId="67" xfId="44" applyFont="1" applyBorder="1" applyAlignment="1">
      <alignment/>
    </xf>
    <xf numFmtId="43" fontId="12" fillId="0" borderId="32" xfId="44" applyFont="1" applyBorder="1" applyAlignment="1">
      <alignment wrapText="1"/>
    </xf>
    <xf numFmtId="43" fontId="12" fillId="0" borderId="36" xfId="44" applyFont="1" applyBorder="1" applyAlignment="1">
      <alignment/>
    </xf>
    <xf numFmtId="0" fontId="12" fillId="0" borderId="59" xfId="58" applyFont="1" applyBorder="1" applyAlignment="1">
      <alignment wrapText="1"/>
      <protection/>
    </xf>
    <xf numFmtId="0" fontId="12" fillId="0" borderId="60" xfId="58" applyFont="1" applyBorder="1">
      <alignment/>
      <protection/>
    </xf>
    <xf numFmtId="0" fontId="12" fillId="0" borderId="40" xfId="58" applyFont="1" applyBorder="1">
      <alignment/>
      <protection/>
    </xf>
    <xf numFmtId="0" fontId="12" fillId="0" borderId="61" xfId="58" applyFont="1" applyBorder="1">
      <alignment/>
      <protection/>
    </xf>
    <xf numFmtId="0" fontId="12" fillId="0" borderId="67" xfId="58" applyFont="1" applyBorder="1" applyAlignment="1">
      <alignment wrapText="1"/>
      <protection/>
    </xf>
    <xf numFmtId="0" fontId="12" fillId="0" borderId="67" xfId="58" applyFont="1" applyBorder="1">
      <alignment/>
      <protection/>
    </xf>
    <xf numFmtId="0" fontId="0" fillId="33" borderId="18" xfId="0" applyFont="1" applyFill="1" applyBorder="1" applyAlignment="1">
      <alignment horizontal="center"/>
    </xf>
    <xf numFmtId="0" fontId="4" fillId="33" borderId="0" xfId="0" applyFont="1" applyFill="1" applyAlignment="1">
      <alignment/>
    </xf>
    <xf numFmtId="0" fontId="8" fillId="0" borderId="0" xfId="58" applyFont="1" applyAlignment="1">
      <alignment horizontal="center"/>
      <protection/>
    </xf>
    <xf numFmtId="0" fontId="8" fillId="0" borderId="68" xfId="58" applyFont="1" applyBorder="1" applyAlignment="1">
      <alignment horizontal="center"/>
      <protection/>
    </xf>
    <xf numFmtId="0" fontId="9" fillId="0" borderId="69" xfId="58" applyFont="1" applyBorder="1" applyAlignment="1">
      <alignment horizontal="center" wrapText="1"/>
      <protection/>
    </xf>
    <xf numFmtId="0" fontId="9" fillId="0" borderId="70" xfId="58" applyFont="1" applyBorder="1" applyAlignment="1">
      <alignment horizontal="center" wrapText="1"/>
      <protection/>
    </xf>
    <xf numFmtId="0" fontId="32" fillId="0" borderId="0" xfId="0" applyFont="1" applyBorder="1" applyAlignment="1">
      <alignment horizontal="center"/>
    </xf>
    <xf numFmtId="2" fontId="32" fillId="0" borderId="0" xfId="0" applyNumberFormat="1" applyFont="1" applyBorder="1" applyAlignment="1">
      <alignment horizontal="center"/>
    </xf>
    <xf numFmtId="1" fontId="32" fillId="0" borderId="0" xfId="0" applyNumberFormat="1" applyFont="1" applyBorder="1" applyAlignment="1">
      <alignment horizontal="center"/>
    </xf>
    <xf numFmtId="2" fontId="32" fillId="0" borderId="0" xfId="0" applyNumberFormat="1" applyFont="1" applyFill="1" applyBorder="1" applyAlignment="1">
      <alignment horizontal="center"/>
    </xf>
    <xf numFmtId="2" fontId="32" fillId="34" borderId="0" xfId="0" applyNumberFormat="1" applyFont="1" applyFill="1" applyBorder="1" applyAlignment="1">
      <alignment horizontal="center"/>
    </xf>
    <xf numFmtId="0" fontId="33" fillId="0" borderId="71" xfId="0" applyFont="1" applyBorder="1" applyAlignment="1">
      <alignment horizontal="center"/>
    </xf>
    <xf numFmtId="2" fontId="33" fillId="0" borderId="71" xfId="0" applyNumberFormat="1" applyFont="1" applyBorder="1" applyAlignment="1">
      <alignment horizontal="center"/>
    </xf>
    <xf numFmtId="1" fontId="33" fillId="0" borderId="71" xfId="0" applyNumberFormat="1" applyFont="1" applyBorder="1" applyAlignment="1">
      <alignment horizontal="center"/>
    </xf>
    <xf numFmtId="0" fontId="0" fillId="34" borderId="0" xfId="0" applyFill="1" applyAlignment="1">
      <alignment/>
    </xf>
    <xf numFmtId="0" fontId="34" fillId="0" borderId="0" xfId="0" applyFont="1" applyAlignment="1">
      <alignment horizontal="center"/>
    </xf>
    <xf numFmtId="0" fontId="34" fillId="0" borderId="0" xfId="0" applyFont="1" applyAlignment="1">
      <alignment/>
    </xf>
    <xf numFmtId="2" fontId="34" fillId="0" borderId="0" xfId="0" applyNumberFormat="1" applyFont="1" applyAlignment="1">
      <alignment horizontal="center"/>
    </xf>
    <xf numFmtId="1" fontId="34" fillId="0" borderId="0" xfId="0" applyNumberFormat="1" applyFont="1" applyAlignment="1">
      <alignment/>
    </xf>
    <xf numFmtId="2" fontId="34" fillId="0" borderId="0" xfId="0" applyNumberFormat="1" applyFont="1" applyAlignment="1">
      <alignment/>
    </xf>
    <xf numFmtId="0" fontId="32" fillId="0" borderId="0" xfId="0" applyFont="1" applyAlignment="1">
      <alignment/>
    </xf>
    <xf numFmtId="0" fontId="34" fillId="0" borderId="0" xfId="0" applyFont="1" applyAlignment="1" quotePrefix="1">
      <alignment horizontal="center"/>
    </xf>
    <xf numFmtId="1" fontId="34" fillId="0" borderId="0" xfId="0" applyNumberFormat="1" applyFont="1" applyAlignment="1">
      <alignment horizontal="center"/>
    </xf>
    <xf numFmtId="0" fontId="34" fillId="0" borderId="21" xfId="0" applyFont="1" applyBorder="1" applyAlignment="1" quotePrefix="1">
      <alignment horizontal="center"/>
    </xf>
    <xf numFmtId="0" fontId="34" fillId="0" borderId="22" xfId="0" applyFont="1" applyBorder="1" applyAlignment="1">
      <alignment/>
    </xf>
    <xf numFmtId="2" fontId="34" fillId="0" borderId="22" xfId="0" applyNumberFormat="1" applyFont="1" applyBorder="1" applyAlignment="1">
      <alignment horizontal="center"/>
    </xf>
    <xf numFmtId="1" fontId="34" fillId="0" borderId="22" xfId="0" applyNumberFormat="1" applyFont="1" applyBorder="1" applyAlignment="1">
      <alignment horizontal="center"/>
    </xf>
    <xf numFmtId="2" fontId="34" fillId="0" borderId="22" xfId="0" applyNumberFormat="1" applyFont="1" applyBorder="1" applyAlignment="1">
      <alignment/>
    </xf>
    <xf numFmtId="0" fontId="0" fillId="0" borderId="22" xfId="0" applyBorder="1" applyAlignment="1">
      <alignment/>
    </xf>
    <xf numFmtId="0" fontId="0" fillId="34" borderId="23" xfId="0" applyFill="1" applyBorder="1" applyAlignment="1">
      <alignment/>
    </xf>
    <xf numFmtId="0" fontId="34" fillId="0" borderId="26" xfId="0" applyFont="1" applyBorder="1" applyAlignment="1" quotePrefix="1">
      <alignment horizontal="center"/>
    </xf>
    <xf numFmtId="0" fontId="34" fillId="0" borderId="27" xfId="0" applyFont="1" applyBorder="1" applyAlignment="1">
      <alignment/>
    </xf>
    <xf numFmtId="2" fontId="34" fillId="0" borderId="27" xfId="0" applyNumberFormat="1" applyFont="1" applyBorder="1" applyAlignment="1">
      <alignment horizontal="center"/>
    </xf>
    <xf numFmtId="1" fontId="34" fillId="0" borderId="27" xfId="0" applyNumberFormat="1" applyFont="1" applyBorder="1" applyAlignment="1">
      <alignment horizontal="center"/>
    </xf>
    <xf numFmtId="2" fontId="34" fillId="0" borderId="27" xfId="0" applyNumberFormat="1" applyFont="1" applyBorder="1" applyAlignment="1">
      <alignment/>
    </xf>
    <xf numFmtId="0" fontId="0" fillId="0" borderId="27" xfId="0" applyBorder="1" applyAlignment="1">
      <alignment/>
    </xf>
    <xf numFmtId="0" fontId="0" fillId="34" borderId="28" xfId="0" applyFill="1" applyBorder="1" applyAlignment="1">
      <alignment/>
    </xf>
    <xf numFmtId="0" fontId="34" fillId="0" borderId="24" xfId="0" applyFont="1" applyBorder="1" applyAlignment="1">
      <alignment horizontal="center"/>
    </xf>
    <xf numFmtId="0" fontId="34" fillId="0" borderId="0" xfId="0" applyFont="1" applyBorder="1" applyAlignment="1">
      <alignment/>
    </xf>
    <xf numFmtId="2" fontId="34" fillId="0" borderId="0" xfId="0" applyNumberFormat="1" applyFont="1" applyBorder="1" applyAlignment="1">
      <alignment horizontal="center"/>
    </xf>
    <xf numFmtId="1" fontId="34" fillId="0" borderId="0" xfId="0" applyNumberFormat="1" applyFont="1" applyBorder="1" applyAlignment="1">
      <alignment horizontal="center"/>
    </xf>
    <xf numFmtId="2" fontId="34" fillId="0" borderId="0" xfId="0" applyNumberFormat="1" applyFont="1" applyBorder="1" applyAlignment="1">
      <alignment/>
    </xf>
    <xf numFmtId="0" fontId="0" fillId="0" borderId="0" xfId="0" applyBorder="1" applyAlignment="1">
      <alignment/>
    </xf>
    <xf numFmtId="0" fontId="0" fillId="34" borderId="25" xfId="0" applyFill="1" applyBorder="1" applyAlignment="1">
      <alignment/>
    </xf>
    <xf numFmtId="0" fontId="34" fillId="0" borderId="26" xfId="0" applyFont="1" applyBorder="1" applyAlignment="1">
      <alignment horizontal="center"/>
    </xf>
    <xf numFmtId="0" fontId="34" fillId="0" borderId="24" xfId="0" applyFont="1" applyBorder="1" applyAlignment="1" quotePrefix="1">
      <alignment horizontal="center"/>
    </xf>
    <xf numFmtId="0" fontId="33" fillId="0" borderId="0" xfId="0" applyFont="1" applyAlignment="1">
      <alignment horizontal="right"/>
    </xf>
    <xf numFmtId="0" fontId="33" fillId="0" borderId="0" xfId="0" applyFont="1" applyAlignment="1">
      <alignment/>
    </xf>
    <xf numFmtId="0" fontId="33" fillId="0" borderId="0" xfId="0" applyFont="1" applyAlignment="1">
      <alignment horizontal="center"/>
    </xf>
    <xf numFmtId="1" fontId="34" fillId="0" borderId="22" xfId="0" applyNumberFormat="1" applyFont="1" applyBorder="1" applyAlignment="1" quotePrefix="1">
      <alignment horizontal="center"/>
    </xf>
    <xf numFmtId="1" fontId="34" fillId="0" borderId="0" xfId="0" applyNumberFormat="1" applyFont="1" applyBorder="1" applyAlignment="1" quotePrefix="1">
      <alignment horizontal="center"/>
    </xf>
    <xf numFmtId="1" fontId="34" fillId="0" borderId="27" xfId="0" applyNumberFormat="1" applyFont="1" applyBorder="1" applyAlignment="1" quotePrefix="1">
      <alignment horizontal="center"/>
    </xf>
    <xf numFmtId="0" fontId="34" fillId="0" borderId="22" xfId="0" applyFont="1" applyBorder="1" applyAlignment="1">
      <alignment horizontal="center"/>
    </xf>
    <xf numFmtId="174" fontId="34" fillId="0" borderId="22" xfId="0" applyNumberFormat="1" applyFont="1" applyBorder="1" applyAlignment="1">
      <alignment horizontal="right"/>
    </xf>
    <xf numFmtId="174" fontId="34" fillId="0" borderId="22" xfId="0" applyNumberFormat="1" applyFont="1" applyBorder="1" applyAlignment="1">
      <alignment/>
    </xf>
    <xf numFmtId="0" fontId="34" fillId="0" borderId="0" xfId="0" applyFont="1" applyBorder="1" applyAlignment="1">
      <alignment horizontal="left"/>
    </xf>
    <xf numFmtId="0" fontId="34" fillId="0" borderId="0" xfId="0" applyFont="1" applyBorder="1" applyAlignment="1">
      <alignment horizontal="center"/>
    </xf>
    <xf numFmtId="174" fontId="34" fillId="0" borderId="0" xfId="0" applyNumberFormat="1" applyFont="1" applyBorder="1" applyAlignment="1">
      <alignment horizontal="right"/>
    </xf>
    <xf numFmtId="174" fontId="34" fillId="0" borderId="0" xfId="0" applyNumberFormat="1" applyFont="1" applyBorder="1" applyAlignment="1">
      <alignment/>
    </xf>
    <xf numFmtId="0" fontId="34" fillId="0" borderId="27" xfId="0" applyFont="1" applyBorder="1" applyAlignment="1">
      <alignment horizontal="left"/>
    </xf>
    <xf numFmtId="0" fontId="33" fillId="0" borderId="0" xfId="0" applyFont="1" applyAlignment="1">
      <alignment/>
    </xf>
    <xf numFmtId="2" fontId="33" fillId="0" borderId="0" xfId="0" applyNumberFormat="1" applyFont="1" applyAlignment="1">
      <alignment horizontal="center"/>
    </xf>
    <xf numFmtId="0" fontId="34" fillId="0" borderId="0" xfId="0" applyFont="1" applyAlignment="1">
      <alignment horizontal="right"/>
    </xf>
    <xf numFmtId="4" fontId="34" fillId="0" borderId="0" xfId="0" applyNumberFormat="1" applyFont="1" applyAlignment="1">
      <alignment horizontal="center"/>
    </xf>
    <xf numFmtId="0" fontId="34" fillId="0" borderId="0" xfId="0" applyFont="1" applyFill="1" applyBorder="1" applyAlignment="1">
      <alignment/>
    </xf>
    <xf numFmtId="4" fontId="34"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L173"/>
  <sheetViews>
    <sheetView showZeros="0" tabSelected="1" zoomScalePageLayoutView="0" workbookViewId="0" topLeftCell="A1">
      <selection activeCell="E9" sqref="E9"/>
    </sheetView>
  </sheetViews>
  <sheetFormatPr defaultColWidth="9.140625" defaultRowHeight="12.75" outlineLevelCol="1"/>
  <cols>
    <col min="1" max="1" width="4.421875" style="113" customWidth="1"/>
    <col min="2" max="3" width="4.28125" style="115" customWidth="1"/>
    <col min="4" max="4" width="4.28125" style="116" customWidth="1"/>
    <col min="5" max="5" width="60.7109375" style="100" customWidth="1"/>
    <col min="6" max="6" width="6.7109375" style="97" customWidth="1"/>
    <col min="7" max="7" width="8.7109375" style="91" customWidth="1"/>
    <col min="8" max="8" width="9.7109375" style="98" customWidth="1" outlineLevel="1"/>
    <col min="9" max="9" width="11.28125" style="99" customWidth="1" outlineLevel="1"/>
    <col min="10" max="10" width="11.28125" style="99" customWidth="1"/>
    <col min="11" max="16384" width="9.140625" style="93" customWidth="1"/>
  </cols>
  <sheetData>
    <row r="1" spans="1:10" ht="39">
      <c r="A1" s="88" t="s">
        <v>0</v>
      </c>
      <c r="B1" s="88" t="s">
        <v>1</v>
      </c>
      <c r="C1" s="88" t="s">
        <v>2</v>
      </c>
      <c r="D1" s="88" t="s">
        <v>3</v>
      </c>
      <c r="E1" s="89" t="s">
        <v>4</v>
      </c>
      <c r="F1" s="90" t="s">
        <v>5</v>
      </c>
      <c r="G1" s="91" t="s">
        <v>6</v>
      </c>
      <c r="H1" s="92" t="s">
        <v>7</v>
      </c>
      <c r="I1" s="92" t="s">
        <v>8</v>
      </c>
      <c r="J1" s="92"/>
    </row>
    <row r="2" spans="1:5" ht="12.75">
      <c r="A2" s="94"/>
      <c r="B2" s="95"/>
      <c r="C2" s="95"/>
      <c r="D2" s="88"/>
      <c r="E2" s="96" t="s">
        <v>9</v>
      </c>
    </row>
    <row r="3" spans="1:4" ht="12.75">
      <c r="A3" s="94"/>
      <c r="B3" s="95"/>
      <c r="C3" s="95"/>
      <c r="D3" s="88"/>
    </row>
    <row r="4" spans="1:5" ht="12.75">
      <c r="A4" s="94"/>
      <c r="B4" s="95"/>
      <c r="C4" s="95"/>
      <c r="D4" s="88"/>
      <c r="E4" s="93" t="s">
        <v>282</v>
      </c>
    </row>
    <row r="5" spans="1:7" ht="12.75">
      <c r="A5" s="94"/>
      <c r="B5" s="95"/>
      <c r="C5" s="95"/>
      <c r="D5" s="88"/>
      <c r="G5" s="91" t="s">
        <v>10</v>
      </c>
    </row>
    <row r="6" spans="1:4" ht="12.75">
      <c r="A6" s="94"/>
      <c r="B6" s="95"/>
      <c r="C6" s="95"/>
      <c r="D6" s="88"/>
    </row>
    <row r="7" spans="1:5" ht="15.75">
      <c r="A7" s="94" t="s">
        <v>11</v>
      </c>
      <c r="B7" s="95"/>
      <c r="C7" s="95"/>
      <c r="D7" s="88"/>
      <c r="E7" s="101" t="s">
        <v>12</v>
      </c>
    </row>
    <row r="8" spans="1:9" ht="12.75">
      <c r="A8" s="94" t="s">
        <v>11</v>
      </c>
      <c r="B8" s="102">
        <v>1</v>
      </c>
      <c r="C8" s="95"/>
      <c r="D8" s="88"/>
      <c r="E8" s="100" t="s">
        <v>13</v>
      </c>
      <c r="F8" s="97" t="s">
        <v>14</v>
      </c>
      <c r="I8" s="99">
        <f>SUM(I37)</f>
        <v>6395.42</v>
      </c>
    </row>
    <row r="9" spans="1:9" ht="12.75">
      <c r="A9" s="94" t="s">
        <v>11</v>
      </c>
      <c r="B9" s="102">
        <v>2</v>
      </c>
      <c r="C9" s="95"/>
      <c r="D9" s="88"/>
      <c r="E9" s="100" t="s">
        <v>15</v>
      </c>
      <c r="F9" s="97" t="s">
        <v>14</v>
      </c>
      <c r="I9" s="99">
        <f>SUM(I51)</f>
        <v>34877.8</v>
      </c>
    </row>
    <row r="10" spans="1:9" ht="12.75">
      <c r="A10" s="94" t="s">
        <v>11</v>
      </c>
      <c r="B10" s="102">
        <v>3</v>
      </c>
      <c r="C10" s="95"/>
      <c r="D10" s="88"/>
      <c r="E10" s="100" t="s">
        <v>16</v>
      </c>
      <c r="F10" s="97" t="s">
        <v>14</v>
      </c>
      <c r="I10" s="99">
        <f>SUM(I55)</f>
        <v>21445</v>
      </c>
    </row>
    <row r="11" spans="1:4" ht="12.75">
      <c r="A11" s="94"/>
      <c r="B11" s="102"/>
      <c r="C11" s="95"/>
      <c r="D11" s="88"/>
    </row>
    <row r="12" spans="1:10" s="109" customFormat="1" ht="12.75">
      <c r="A12" s="103" t="s">
        <v>11</v>
      </c>
      <c r="B12" s="102"/>
      <c r="C12" s="104"/>
      <c r="D12" s="102"/>
      <c r="E12" s="105" t="s">
        <v>17</v>
      </c>
      <c r="F12" s="106" t="s">
        <v>14</v>
      </c>
      <c r="G12" s="107"/>
      <c r="H12" s="98"/>
      <c r="I12" s="108">
        <f>SUM(I8:I11)</f>
        <v>62718.22</v>
      </c>
      <c r="J12" s="108"/>
    </row>
    <row r="13" spans="1:4" ht="12.75">
      <c r="A13" s="94"/>
      <c r="B13" s="102"/>
      <c r="C13" s="95"/>
      <c r="D13" s="88"/>
    </row>
    <row r="14" spans="1:5" ht="15.75">
      <c r="A14" s="94" t="s">
        <v>18</v>
      </c>
      <c r="B14" s="102"/>
      <c r="C14" s="95"/>
      <c r="D14" s="88"/>
      <c r="E14" s="101" t="s">
        <v>19</v>
      </c>
    </row>
    <row r="15" spans="1:10" ht="12.75">
      <c r="A15" s="94" t="s">
        <v>18</v>
      </c>
      <c r="B15" s="102">
        <v>1</v>
      </c>
      <c r="C15" s="95"/>
      <c r="D15" s="88"/>
      <c r="E15" s="100" t="s">
        <v>20</v>
      </c>
      <c r="F15" s="97" t="s">
        <v>14</v>
      </c>
      <c r="I15" s="98">
        <f>I69</f>
        <v>16553.059999999998</v>
      </c>
      <c r="J15" s="98"/>
    </row>
    <row r="16" spans="1:10" ht="12.75">
      <c r="A16" s="94" t="s">
        <v>18</v>
      </c>
      <c r="B16" s="102">
        <v>2</v>
      </c>
      <c r="C16" s="95"/>
      <c r="D16" s="88"/>
      <c r="E16" s="100" t="s">
        <v>21</v>
      </c>
      <c r="F16" s="97" t="s">
        <v>14</v>
      </c>
      <c r="I16" s="98">
        <f>SUM(I73)</f>
        <v>29852.55</v>
      </c>
      <c r="J16" s="98"/>
    </row>
    <row r="17" spans="1:10" ht="12.75">
      <c r="A17" s="94" t="s">
        <v>18</v>
      </c>
      <c r="B17" s="102">
        <v>3</v>
      </c>
      <c r="C17" s="95"/>
      <c r="D17" s="88"/>
      <c r="E17" s="100" t="s">
        <v>22</v>
      </c>
      <c r="F17" s="97" t="s">
        <v>14</v>
      </c>
      <c r="I17" s="98">
        <f>SUM(I77)</f>
        <v>21557.4</v>
      </c>
      <c r="J17" s="98"/>
    </row>
    <row r="18" spans="1:10" ht="12.75">
      <c r="A18" s="94" t="s">
        <v>18</v>
      </c>
      <c r="B18" s="102">
        <v>4</v>
      </c>
      <c r="C18" s="95"/>
      <c r="D18" s="88"/>
      <c r="E18" s="100" t="s">
        <v>23</v>
      </c>
      <c r="F18" s="97" t="s">
        <v>14</v>
      </c>
      <c r="I18" s="98">
        <f>SUM(I92)</f>
        <v>39117.1</v>
      </c>
      <c r="J18" s="98"/>
    </row>
    <row r="19" spans="1:10" ht="12.75">
      <c r="A19" s="94" t="s">
        <v>18</v>
      </c>
      <c r="B19" s="102">
        <v>5</v>
      </c>
      <c r="C19" s="95"/>
      <c r="D19" s="88"/>
      <c r="E19" s="100" t="s">
        <v>24</v>
      </c>
      <c r="F19" s="97" t="s">
        <v>14</v>
      </c>
      <c r="I19" s="98">
        <f>I101</f>
        <v>14280</v>
      </c>
      <c r="J19" s="98"/>
    </row>
    <row r="20" spans="1:10" ht="12.75">
      <c r="A20" s="94" t="s">
        <v>18</v>
      </c>
      <c r="B20" s="102">
        <v>6</v>
      </c>
      <c r="C20" s="95"/>
      <c r="D20" s="88"/>
      <c r="E20" s="100" t="s">
        <v>25</v>
      </c>
      <c r="F20" s="97" t="s">
        <v>14</v>
      </c>
      <c r="I20" s="98">
        <f>I117</f>
        <v>39104.25</v>
      </c>
      <c r="J20" s="98"/>
    </row>
    <row r="21" spans="1:10" ht="12.75">
      <c r="A21" s="94" t="s">
        <v>18</v>
      </c>
      <c r="B21" s="102">
        <v>7</v>
      </c>
      <c r="C21" s="95"/>
      <c r="D21" s="88"/>
      <c r="E21" s="100" t="s">
        <v>26</v>
      </c>
      <c r="F21" s="97" t="s">
        <v>14</v>
      </c>
      <c r="I21" s="98">
        <f>I120</f>
        <v>738.72</v>
      </c>
      <c r="J21" s="98"/>
    </row>
    <row r="22" spans="1:10" ht="12.75">
      <c r="A22" s="94" t="s">
        <v>18</v>
      </c>
      <c r="B22" s="102">
        <v>8</v>
      </c>
      <c r="C22" s="95"/>
      <c r="D22" s="88"/>
      <c r="E22" s="100" t="s">
        <v>27</v>
      </c>
      <c r="F22" s="97" t="s">
        <v>14</v>
      </c>
      <c r="I22" s="98">
        <f>I126</f>
        <v>9895.8</v>
      </c>
      <c r="J22" s="98"/>
    </row>
    <row r="23" spans="1:10" ht="12.75">
      <c r="A23" s="94" t="s">
        <v>18</v>
      </c>
      <c r="B23" s="102">
        <v>9</v>
      </c>
      <c r="C23" s="95"/>
      <c r="D23" s="88"/>
      <c r="E23" s="100" t="s">
        <v>28</v>
      </c>
      <c r="F23" s="97" t="s">
        <v>14</v>
      </c>
      <c r="I23" s="98">
        <f>I152</f>
        <v>11525</v>
      </c>
      <c r="J23" s="98"/>
    </row>
    <row r="24" spans="1:10" ht="12.75">
      <c r="A24" s="94" t="s">
        <v>18</v>
      </c>
      <c r="B24" s="102">
        <v>10</v>
      </c>
      <c r="C24" s="95"/>
      <c r="D24" s="88"/>
      <c r="E24" s="100" t="s">
        <v>29</v>
      </c>
      <c r="F24" s="97" t="s">
        <v>14</v>
      </c>
      <c r="I24" s="98">
        <f>I173</f>
        <v>25800</v>
      </c>
      <c r="J24" s="98"/>
    </row>
    <row r="26" spans="1:10" s="109" customFormat="1" ht="12.75">
      <c r="A26" s="110" t="s">
        <v>30</v>
      </c>
      <c r="B26" s="111"/>
      <c r="C26" s="111"/>
      <c r="D26" s="112"/>
      <c r="E26" s="105" t="s">
        <v>31</v>
      </c>
      <c r="F26" s="106" t="s">
        <v>14</v>
      </c>
      <c r="G26" s="107"/>
      <c r="H26" s="98"/>
      <c r="I26" s="108">
        <f>SUM(I15:I25)</f>
        <v>208423.88</v>
      </c>
      <c r="J26" s="108"/>
    </row>
    <row r="27" spans="1:10" s="109" customFormat="1" ht="12.75">
      <c r="A27" s="113"/>
      <c r="B27" s="111"/>
      <c r="C27" s="111"/>
      <c r="D27" s="112"/>
      <c r="E27" s="105"/>
      <c r="F27" s="106"/>
      <c r="G27" s="107"/>
      <c r="H27" s="98"/>
      <c r="I27" s="108"/>
      <c r="J27" s="108"/>
    </row>
    <row r="28" spans="1:10" s="109" customFormat="1" ht="12.75">
      <c r="A28" s="113" t="s">
        <v>30</v>
      </c>
      <c r="B28" s="111"/>
      <c r="C28" s="111"/>
      <c r="D28" s="112"/>
      <c r="E28" s="105" t="s">
        <v>32</v>
      </c>
      <c r="F28" s="106" t="s">
        <v>14</v>
      </c>
      <c r="G28" s="107"/>
      <c r="H28" s="114"/>
      <c r="I28" s="114">
        <f>SUM(I12+I26)</f>
        <v>271142.1</v>
      </c>
      <c r="J28" s="114">
        <f>I28/I29</f>
        <v>1.1067410902028154</v>
      </c>
    </row>
    <row r="29" spans="1:10" s="109" customFormat="1" ht="12.75">
      <c r="A29" s="113"/>
      <c r="B29" s="111"/>
      <c r="C29" s="111"/>
      <c r="D29" s="112"/>
      <c r="E29" s="105" t="s">
        <v>477</v>
      </c>
      <c r="F29" s="106" t="s">
        <v>14</v>
      </c>
      <c r="G29" s="107"/>
      <c r="H29" s="114"/>
      <c r="I29" s="114">
        <f>'Material Breakdown'!U345</f>
        <v>244991.44596710685</v>
      </c>
      <c r="J29" s="114"/>
    </row>
    <row r="31" spans="1:10" s="109" customFormat="1" ht="15.75">
      <c r="A31" s="110" t="s">
        <v>11</v>
      </c>
      <c r="B31" s="111">
        <v>1</v>
      </c>
      <c r="C31" s="111"/>
      <c r="D31" s="112"/>
      <c r="E31" s="101" t="s">
        <v>33</v>
      </c>
      <c r="F31" s="106"/>
      <c r="G31" s="107"/>
      <c r="H31" s="98"/>
      <c r="I31" s="108"/>
      <c r="J31" s="108"/>
    </row>
    <row r="32" spans="1:10" s="109" customFormat="1" ht="12.75">
      <c r="A32" s="110" t="s">
        <v>11</v>
      </c>
      <c r="B32" s="111">
        <v>1</v>
      </c>
      <c r="C32" s="111"/>
      <c r="D32" s="112"/>
      <c r="E32" s="96" t="s">
        <v>34</v>
      </c>
      <c r="F32" s="106"/>
      <c r="G32" s="107"/>
      <c r="H32" s="98"/>
      <c r="I32" s="108"/>
      <c r="J32" s="108"/>
    </row>
    <row r="33" spans="1:9" ht="12.75">
      <c r="A33" s="113" t="s">
        <v>11</v>
      </c>
      <c r="B33" s="115">
        <v>1</v>
      </c>
      <c r="C33" s="115">
        <v>1</v>
      </c>
      <c r="E33" s="96" t="s">
        <v>417</v>
      </c>
      <c r="F33" s="97" t="s">
        <v>35</v>
      </c>
      <c r="G33" s="91">
        <v>250.74</v>
      </c>
      <c r="H33" s="98">
        <v>3</v>
      </c>
      <c r="I33" s="99">
        <f>ROUND(($G33*H33),2)</f>
        <v>752.22</v>
      </c>
    </row>
    <row r="34" spans="1:9" ht="25.5">
      <c r="A34" s="113" t="s">
        <v>11</v>
      </c>
      <c r="B34" s="115">
        <v>1</v>
      </c>
      <c r="C34" s="115">
        <v>2</v>
      </c>
      <c r="E34" s="117" t="s">
        <v>418</v>
      </c>
      <c r="F34" s="97" t="s">
        <v>36</v>
      </c>
      <c r="G34" s="91">
        <v>54.15</v>
      </c>
      <c r="H34" s="98">
        <v>20</v>
      </c>
      <c r="I34" s="99">
        <f>ROUND(($G34*H34),2)</f>
        <v>1083</v>
      </c>
    </row>
    <row r="35" spans="1:9" ht="39">
      <c r="A35" s="113" t="s">
        <v>11</v>
      </c>
      <c r="B35" s="115">
        <v>1</v>
      </c>
      <c r="C35" s="115">
        <v>3</v>
      </c>
      <c r="E35" s="117" t="s">
        <v>419</v>
      </c>
      <c r="F35" s="97" t="s">
        <v>36</v>
      </c>
      <c r="G35" s="91">
        <v>26.060000000000002</v>
      </c>
      <c r="H35" s="98">
        <v>25</v>
      </c>
      <c r="I35" s="99">
        <f>ROUND(($G35*H35),2)</f>
        <v>651.5</v>
      </c>
    </row>
    <row r="36" spans="1:9" ht="25.5">
      <c r="A36" s="113" t="s">
        <v>11</v>
      </c>
      <c r="B36" s="115">
        <v>1</v>
      </c>
      <c r="C36" s="115">
        <v>4</v>
      </c>
      <c r="E36" s="89" t="s">
        <v>420</v>
      </c>
      <c r="F36" s="97" t="s">
        <v>35</v>
      </c>
      <c r="G36" s="91">
        <v>130.29</v>
      </c>
      <c r="H36" s="98">
        <v>30</v>
      </c>
      <c r="I36" s="99">
        <f>ROUND(($G36*H36),2)</f>
        <v>3908.7</v>
      </c>
    </row>
    <row r="37" spans="1:10" s="109" customFormat="1" ht="12.75">
      <c r="A37" s="110" t="s">
        <v>11</v>
      </c>
      <c r="B37" s="111">
        <v>1</v>
      </c>
      <c r="C37" s="111"/>
      <c r="D37" s="112"/>
      <c r="E37" s="118" t="s">
        <v>37</v>
      </c>
      <c r="F37" s="106"/>
      <c r="G37" s="107"/>
      <c r="H37" s="98"/>
      <c r="I37" s="108">
        <f>SUM(I33:I36)</f>
        <v>6395.42</v>
      </c>
      <c r="J37" s="108"/>
    </row>
    <row r="38" spans="1:10" s="109" customFormat="1" ht="12.75">
      <c r="A38" s="110" t="s">
        <v>11</v>
      </c>
      <c r="B38" s="111">
        <v>2</v>
      </c>
      <c r="C38" s="111"/>
      <c r="D38" s="112"/>
      <c r="E38" s="117" t="s">
        <v>38</v>
      </c>
      <c r="F38" s="106"/>
      <c r="G38" s="107"/>
      <c r="H38" s="98"/>
      <c r="I38" s="108"/>
      <c r="J38" s="108"/>
    </row>
    <row r="39" spans="1:5" ht="12.75">
      <c r="A39" s="113" t="s">
        <v>11</v>
      </c>
      <c r="B39" s="115">
        <v>2</v>
      </c>
      <c r="C39" s="115">
        <v>1</v>
      </c>
      <c r="E39" s="89" t="s">
        <v>39</v>
      </c>
    </row>
    <row r="40" spans="1:9" ht="12.75">
      <c r="A40" s="113" t="s">
        <v>11</v>
      </c>
      <c r="B40" s="115">
        <v>2</v>
      </c>
      <c r="C40" s="115">
        <v>1</v>
      </c>
      <c r="D40" s="116">
        <v>1</v>
      </c>
      <c r="E40" s="89" t="s">
        <v>40</v>
      </c>
      <c r="F40" s="97" t="s">
        <v>35</v>
      </c>
      <c r="G40" s="91">
        <v>27.06</v>
      </c>
      <c r="H40" s="98">
        <v>37</v>
      </c>
      <c r="I40" s="99">
        <f aca="true" t="shared" si="0" ref="I40:I47">ROUND(($G40*H40),2)</f>
        <v>1001.22</v>
      </c>
    </row>
    <row r="41" spans="1:9" ht="39" customHeight="1">
      <c r="A41" s="113" t="s">
        <v>11</v>
      </c>
      <c r="B41" s="115">
        <v>2</v>
      </c>
      <c r="C41" s="115">
        <v>2</v>
      </c>
      <c r="E41" s="96" t="s">
        <v>421</v>
      </c>
      <c r="I41" s="99">
        <f t="shared" si="0"/>
        <v>0</v>
      </c>
    </row>
    <row r="42" spans="1:9" ht="12.75">
      <c r="A42" s="113" t="s">
        <v>11</v>
      </c>
      <c r="B42" s="115">
        <v>2</v>
      </c>
      <c r="C42" s="115">
        <v>2</v>
      </c>
      <c r="D42" s="116">
        <v>1</v>
      </c>
      <c r="E42" s="89" t="s">
        <v>41</v>
      </c>
      <c r="F42" s="97" t="s">
        <v>36</v>
      </c>
      <c r="G42" s="91">
        <v>5.6899999999999995</v>
      </c>
      <c r="H42" s="98">
        <v>1200</v>
      </c>
      <c r="I42" s="99">
        <f t="shared" si="0"/>
        <v>6828</v>
      </c>
    </row>
    <row r="43" spans="1:5" ht="39">
      <c r="A43" s="113" t="s">
        <v>11</v>
      </c>
      <c r="B43" s="115">
        <v>2</v>
      </c>
      <c r="C43" s="115">
        <v>3</v>
      </c>
      <c r="E43" s="96" t="s">
        <v>422</v>
      </c>
    </row>
    <row r="44" spans="1:9" ht="12.75">
      <c r="A44" s="113" t="s">
        <v>11</v>
      </c>
      <c r="B44" s="115">
        <v>2</v>
      </c>
      <c r="C44" s="115">
        <v>3</v>
      </c>
      <c r="D44" s="116">
        <v>1</v>
      </c>
      <c r="E44" s="89" t="s">
        <v>42</v>
      </c>
      <c r="F44" s="97" t="s">
        <v>35</v>
      </c>
      <c r="G44" s="91">
        <v>161.68</v>
      </c>
      <c r="H44" s="98">
        <v>110</v>
      </c>
      <c r="I44" s="99">
        <f t="shared" si="0"/>
        <v>17784.8</v>
      </c>
    </row>
    <row r="45" spans="1:9" ht="12.75">
      <c r="A45" s="110" t="s">
        <v>11</v>
      </c>
      <c r="B45" s="111">
        <v>2</v>
      </c>
      <c r="C45" s="111">
        <v>4</v>
      </c>
      <c r="D45" s="112"/>
      <c r="E45" s="119" t="s">
        <v>43</v>
      </c>
      <c r="I45" s="99">
        <f t="shared" si="0"/>
        <v>0</v>
      </c>
    </row>
    <row r="46" spans="1:9" ht="40.5" customHeight="1">
      <c r="A46" s="113" t="s">
        <v>11</v>
      </c>
      <c r="B46" s="115">
        <v>2</v>
      </c>
      <c r="C46" s="115">
        <v>4</v>
      </c>
      <c r="E46" s="120" t="s">
        <v>44</v>
      </c>
      <c r="I46" s="99">
        <f t="shared" si="0"/>
        <v>0</v>
      </c>
    </row>
    <row r="47" spans="1:9" ht="12.75">
      <c r="A47" s="113" t="s">
        <v>11</v>
      </c>
      <c r="B47" s="115">
        <v>2</v>
      </c>
      <c r="C47" s="115">
        <v>4</v>
      </c>
      <c r="D47" s="116">
        <v>1</v>
      </c>
      <c r="E47" s="89" t="s">
        <v>45</v>
      </c>
      <c r="F47" s="97" t="s">
        <v>35</v>
      </c>
      <c r="G47" s="91">
        <v>55.959999999999994</v>
      </c>
      <c r="H47" s="98">
        <v>40</v>
      </c>
      <c r="I47" s="99">
        <f t="shared" si="0"/>
        <v>2238.4</v>
      </c>
    </row>
    <row r="48" spans="1:5" ht="51.75">
      <c r="A48" s="113" t="s">
        <v>11</v>
      </c>
      <c r="B48" s="115">
        <v>2</v>
      </c>
      <c r="C48" s="115">
        <v>5</v>
      </c>
      <c r="E48" s="119" t="s">
        <v>423</v>
      </c>
    </row>
    <row r="49" spans="1:9" ht="12.75">
      <c r="A49" s="113" t="s">
        <v>11</v>
      </c>
      <c r="B49" s="115">
        <v>2</v>
      </c>
      <c r="C49" s="115">
        <v>5</v>
      </c>
      <c r="D49" s="116">
        <v>1</v>
      </c>
      <c r="E49" s="89" t="s">
        <v>48</v>
      </c>
      <c r="F49" s="97" t="s">
        <v>47</v>
      </c>
      <c r="G49" s="91">
        <v>312.9585</v>
      </c>
      <c r="H49" s="98">
        <v>15</v>
      </c>
      <c r="I49" s="99">
        <f>ROUND(($G49*H49),2)</f>
        <v>4694.38</v>
      </c>
    </row>
    <row r="50" spans="1:9" ht="12.75">
      <c r="A50" s="113" t="s">
        <v>11</v>
      </c>
      <c r="B50" s="115">
        <v>2</v>
      </c>
      <c r="C50" s="115">
        <v>5</v>
      </c>
      <c r="D50" s="116">
        <v>2</v>
      </c>
      <c r="E50" s="89" t="s">
        <v>49</v>
      </c>
      <c r="F50" s="97" t="s">
        <v>47</v>
      </c>
      <c r="G50" s="91">
        <v>155.4</v>
      </c>
      <c r="H50" s="98">
        <v>15</v>
      </c>
      <c r="I50" s="99">
        <f>ROUND(($G50*H50),2)</f>
        <v>2331</v>
      </c>
    </row>
    <row r="51" spans="1:10" s="109" customFormat="1" ht="12.75">
      <c r="A51" s="110" t="s">
        <v>11</v>
      </c>
      <c r="B51" s="111">
        <v>20</v>
      </c>
      <c r="C51" s="111"/>
      <c r="D51" s="112"/>
      <c r="E51" s="118" t="s">
        <v>37</v>
      </c>
      <c r="F51" s="106"/>
      <c r="G51" s="107"/>
      <c r="H51" s="98"/>
      <c r="I51" s="108">
        <f>SUM(I40:I50)</f>
        <v>34877.8</v>
      </c>
      <c r="J51" s="108"/>
    </row>
    <row r="52" spans="1:10" s="109" customFormat="1" ht="12.75">
      <c r="A52" s="110" t="s">
        <v>11</v>
      </c>
      <c r="B52" s="111">
        <v>3</v>
      </c>
      <c r="C52" s="111"/>
      <c r="D52" s="112"/>
      <c r="E52" s="117" t="s">
        <v>50</v>
      </c>
      <c r="F52" s="106"/>
      <c r="G52" s="107"/>
      <c r="H52" s="98"/>
      <c r="I52" s="108"/>
      <c r="J52" s="108"/>
    </row>
    <row r="53" spans="1:9" ht="25.5">
      <c r="A53" s="113" t="s">
        <v>11</v>
      </c>
      <c r="B53" s="115">
        <v>3</v>
      </c>
      <c r="C53" s="115">
        <v>1</v>
      </c>
      <c r="E53" s="100" t="s">
        <v>424</v>
      </c>
      <c r="F53" s="97" t="s">
        <v>36</v>
      </c>
      <c r="G53" s="91">
        <v>54.15</v>
      </c>
      <c r="H53" s="98">
        <v>300</v>
      </c>
      <c r="I53" s="99">
        <f>ROUND(($G53*H53),2)</f>
        <v>16245</v>
      </c>
    </row>
    <row r="54" spans="1:9" ht="39">
      <c r="A54" s="113" t="s">
        <v>11</v>
      </c>
      <c r="B54" s="115">
        <v>3</v>
      </c>
      <c r="C54" s="115">
        <v>2</v>
      </c>
      <c r="E54" s="100" t="s">
        <v>425</v>
      </c>
      <c r="F54" s="97" t="s">
        <v>36</v>
      </c>
      <c r="G54" s="91">
        <v>16.25</v>
      </c>
      <c r="H54" s="98">
        <v>320</v>
      </c>
      <c r="I54" s="99">
        <f>ROUND(($G54*H54),2)</f>
        <v>5200</v>
      </c>
    </row>
    <row r="55" spans="1:10" s="109" customFormat="1" ht="12.75">
      <c r="A55" s="110" t="s">
        <v>11</v>
      </c>
      <c r="B55" s="111">
        <v>3</v>
      </c>
      <c r="C55" s="111"/>
      <c r="D55" s="112"/>
      <c r="E55" s="118" t="s">
        <v>37</v>
      </c>
      <c r="F55" s="106"/>
      <c r="G55" s="107"/>
      <c r="H55" s="98"/>
      <c r="I55" s="108">
        <f>SUM(I53:I54)</f>
        <v>21445</v>
      </c>
      <c r="J55" s="108"/>
    </row>
    <row r="56" spans="1:10" s="109" customFormat="1" ht="15.75">
      <c r="A56" s="110" t="s">
        <v>18</v>
      </c>
      <c r="B56" s="111"/>
      <c r="C56" s="111"/>
      <c r="D56" s="112"/>
      <c r="E56" s="121" t="s">
        <v>51</v>
      </c>
      <c r="F56" s="106"/>
      <c r="G56" s="107"/>
      <c r="H56" s="98"/>
      <c r="I56" s="108"/>
      <c r="J56" s="108"/>
    </row>
    <row r="57" spans="1:10" s="109" customFormat="1" ht="12.75">
      <c r="A57" s="110" t="s">
        <v>18</v>
      </c>
      <c r="B57" s="111">
        <v>1</v>
      </c>
      <c r="C57" s="111"/>
      <c r="D57" s="112"/>
      <c r="E57" s="117" t="s">
        <v>38</v>
      </c>
      <c r="F57" s="106"/>
      <c r="G57" s="107"/>
      <c r="H57" s="98"/>
      <c r="I57" s="108"/>
      <c r="J57" s="108"/>
    </row>
    <row r="58" spans="1:5" ht="39">
      <c r="A58" s="113" t="s">
        <v>18</v>
      </c>
      <c r="B58" s="115">
        <v>1</v>
      </c>
      <c r="C58" s="115">
        <v>1</v>
      </c>
      <c r="E58" s="100" t="s">
        <v>52</v>
      </c>
    </row>
    <row r="59" spans="1:9" ht="12.75">
      <c r="A59" s="113" t="s">
        <v>18</v>
      </c>
      <c r="B59" s="115">
        <v>1</v>
      </c>
      <c r="C59" s="115">
        <v>1</v>
      </c>
      <c r="D59" s="116">
        <v>1</v>
      </c>
      <c r="E59" s="89" t="s">
        <v>53</v>
      </c>
      <c r="F59" s="97" t="s">
        <v>36</v>
      </c>
      <c r="G59" s="91">
        <v>1.98</v>
      </c>
      <c r="H59" s="98">
        <v>1200</v>
      </c>
      <c r="I59" s="99">
        <f>ROUND(($G59*H59),2)</f>
        <v>2376</v>
      </c>
    </row>
    <row r="60" spans="1:9" ht="12.75">
      <c r="A60" s="113" t="s">
        <v>18</v>
      </c>
      <c r="B60" s="115">
        <v>1</v>
      </c>
      <c r="C60" s="115">
        <v>1</v>
      </c>
      <c r="D60" s="116">
        <v>2</v>
      </c>
      <c r="E60" s="89" t="s">
        <v>54</v>
      </c>
      <c r="F60" s="97" t="s">
        <v>36</v>
      </c>
      <c r="G60" s="91">
        <v>4.54</v>
      </c>
      <c r="H60" s="98">
        <v>1200</v>
      </c>
      <c r="I60" s="99">
        <f>ROUND(($G60*H60),2)</f>
        <v>5448</v>
      </c>
    </row>
    <row r="61" spans="1:10" s="109" customFormat="1" ht="12.75">
      <c r="A61" s="110" t="s">
        <v>18</v>
      </c>
      <c r="B61" s="111">
        <v>1</v>
      </c>
      <c r="C61" s="111">
        <v>2</v>
      </c>
      <c r="D61" s="112"/>
      <c r="E61" s="122" t="s">
        <v>43</v>
      </c>
      <c r="F61" s="106"/>
      <c r="G61" s="107"/>
      <c r="H61" s="98"/>
      <c r="I61" s="99"/>
      <c r="J61" s="108"/>
    </row>
    <row r="62" spans="1:5" ht="40.5" customHeight="1">
      <c r="A62" s="113" t="s">
        <v>18</v>
      </c>
      <c r="B62" s="115">
        <v>1</v>
      </c>
      <c r="C62" s="115">
        <v>2</v>
      </c>
      <c r="E62" s="120" t="s">
        <v>44</v>
      </c>
    </row>
    <row r="63" spans="1:9" ht="12.75">
      <c r="A63" s="113" t="s">
        <v>18</v>
      </c>
      <c r="B63" s="115">
        <v>1</v>
      </c>
      <c r="C63" s="115">
        <v>2</v>
      </c>
      <c r="D63" s="116">
        <v>1</v>
      </c>
      <c r="E63" s="89" t="s">
        <v>55</v>
      </c>
      <c r="F63" s="97" t="s">
        <v>35</v>
      </c>
      <c r="G63" s="91">
        <v>10.32</v>
      </c>
      <c r="H63" s="98">
        <v>65</v>
      </c>
      <c r="I63" s="99">
        <f>ROUND(($G63*H63),2)</f>
        <v>670.8</v>
      </c>
    </row>
    <row r="64" spans="1:9" ht="12.75">
      <c r="A64" s="113" t="s">
        <v>18</v>
      </c>
      <c r="B64" s="115">
        <v>1</v>
      </c>
      <c r="C64" s="115">
        <v>2</v>
      </c>
      <c r="D64" s="116">
        <v>2</v>
      </c>
      <c r="E64" s="89" t="s">
        <v>56</v>
      </c>
      <c r="F64" s="97" t="s">
        <v>35</v>
      </c>
      <c r="G64" s="91">
        <v>55.959999999999994</v>
      </c>
      <c r="H64" s="98">
        <v>65</v>
      </c>
      <c r="I64" s="99">
        <f>ROUND(($G64*H64),2)</f>
        <v>3637.4</v>
      </c>
    </row>
    <row r="65" spans="1:10" s="109" customFormat="1" ht="12.75">
      <c r="A65" s="110" t="s">
        <v>18</v>
      </c>
      <c r="B65" s="111">
        <v>1</v>
      </c>
      <c r="C65" s="111">
        <v>3</v>
      </c>
      <c r="D65" s="112"/>
      <c r="E65" s="117" t="s">
        <v>57</v>
      </c>
      <c r="F65" s="97"/>
      <c r="G65" s="107"/>
      <c r="H65" s="98"/>
      <c r="I65" s="99"/>
      <c r="J65" s="108"/>
    </row>
    <row r="66" spans="1:5" ht="51.75">
      <c r="A66" s="113" t="s">
        <v>18</v>
      </c>
      <c r="B66" s="115">
        <v>1</v>
      </c>
      <c r="C66" s="115">
        <v>3</v>
      </c>
      <c r="E66" s="119" t="s">
        <v>423</v>
      </c>
    </row>
    <row r="67" spans="1:9" ht="12.75">
      <c r="A67" s="113" t="s">
        <v>18</v>
      </c>
      <c r="B67" s="115">
        <v>1</v>
      </c>
      <c r="C67" s="115">
        <v>3</v>
      </c>
      <c r="D67" s="116">
        <v>1</v>
      </c>
      <c r="E67" s="100" t="s">
        <v>48</v>
      </c>
      <c r="F67" s="97" t="s">
        <v>47</v>
      </c>
      <c r="G67" s="91">
        <v>77.6965</v>
      </c>
      <c r="H67" s="98">
        <v>15</v>
      </c>
      <c r="I67" s="99">
        <f>ROUND(($G67*H67),2)</f>
        <v>1165.45</v>
      </c>
    </row>
    <row r="68" spans="1:9" ht="12.75">
      <c r="A68" s="113" t="s">
        <v>18</v>
      </c>
      <c r="B68" s="115">
        <v>1</v>
      </c>
      <c r="C68" s="115">
        <v>3</v>
      </c>
      <c r="D68" s="116">
        <v>2</v>
      </c>
      <c r="E68" s="89" t="s">
        <v>49</v>
      </c>
      <c r="F68" s="97" t="s">
        <v>47</v>
      </c>
      <c r="G68" s="91">
        <v>217.02720000000002</v>
      </c>
      <c r="H68" s="98">
        <v>15</v>
      </c>
      <c r="I68" s="99">
        <f>ROUND(($G68*H68),2)</f>
        <v>3255.41</v>
      </c>
    </row>
    <row r="69" spans="1:10" ht="12.75">
      <c r="A69" s="110" t="s">
        <v>18</v>
      </c>
      <c r="B69" s="111">
        <v>1</v>
      </c>
      <c r="C69" s="111"/>
      <c r="D69" s="112"/>
      <c r="E69" s="123" t="s">
        <v>37</v>
      </c>
      <c r="F69" s="106"/>
      <c r="G69" s="107"/>
      <c r="I69" s="108">
        <f>SUM(I59:I68)</f>
        <v>16553.059999999998</v>
      </c>
      <c r="J69" s="108"/>
    </row>
    <row r="70" spans="1:5" ht="12.75">
      <c r="A70" s="110" t="s">
        <v>18</v>
      </c>
      <c r="B70" s="111">
        <v>2</v>
      </c>
      <c r="C70" s="111"/>
      <c r="D70" s="112"/>
      <c r="E70" s="117" t="s">
        <v>60</v>
      </c>
    </row>
    <row r="71" spans="1:9" ht="25.5">
      <c r="A71" s="113" t="s">
        <v>18</v>
      </c>
      <c r="B71" s="115">
        <v>2</v>
      </c>
      <c r="C71" s="115">
        <v>1</v>
      </c>
      <c r="D71" s="116">
        <v>1</v>
      </c>
      <c r="E71" s="100" t="s">
        <v>275</v>
      </c>
      <c r="F71" s="97" t="s">
        <v>35</v>
      </c>
      <c r="G71" s="91">
        <v>229.24999999999997</v>
      </c>
      <c r="H71" s="98">
        <v>110</v>
      </c>
      <c r="I71" s="99">
        <f>ROUND(($G71*H71),2)</f>
        <v>25217.5</v>
      </c>
    </row>
    <row r="72" spans="1:9" ht="12.75">
      <c r="A72" s="113" t="s">
        <v>18</v>
      </c>
      <c r="B72" s="115">
        <v>2</v>
      </c>
      <c r="C72" s="115">
        <v>1</v>
      </c>
      <c r="D72" s="116">
        <v>2</v>
      </c>
      <c r="E72" s="100" t="s">
        <v>62</v>
      </c>
      <c r="F72" s="97" t="s">
        <v>35</v>
      </c>
      <c r="G72" s="91">
        <v>54.53</v>
      </c>
      <c r="H72" s="98">
        <v>85</v>
      </c>
      <c r="I72" s="99">
        <f>ROUND(($G72*H72),2)</f>
        <v>4635.05</v>
      </c>
    </row>
    <row r="73" spans="1:10" ht="12.75">
      <c r="A73" s="110" t="s">
        <v>18</v>
      </c>
      <c r="B73" s="111">
        <v>2</v>
      </c>
      <c r="C73" s="111"/>
      <c r="D73" s="112"/>
      <c r="E73" s="123" t="s">
        <v>37</v>
      </c>
      <c r="F73" s="106"/>
      <c r="G73" s="107"/>
      <c r="I73" s="108">
        <f>SUM(I71:I72)</f>
        <v>29852.55</v>
      </c>
      <c r="J73" s="108"/>
    </row>
    <row r="74" spans="1:10" s="109" customFormat="1" ht="12.75">
      <c r="A74" s="110" t="s">
        <v>18</v>
      </c>
      <c r="B74" s="111">
        <v>3</v>
      </c>
      <c r="C74" s="111"/>
      <c r="D74" s="116"/>
      <c r="E74" s="117" t="s">
        <v>63</v>
      </c>
      <c r="F74" s="97"/>
      <c r="G74" s="91"/>
      <c r="H74" s="98"/>
      <c r="I74" s="108"/>
      <c r="J74" s="108"/>
    </row>
    <row r="75" spans="1:9" ht="69.75" customHeight="1">
      <c r="A75" s="113" t="s">
        <v>18</v>
      </c>
      <c r="B75" s="115">
        <v>3</v>
      </c>
      <c r="C75" s="115">
        <v>1</v>
      </c>
      <c r="D75" s="116">
        <v>1</v>
      </c>
      <c r="E75" s="124" t="s">
        <v>426</v>
      </c>
      <c r="F75" s="97" t="s">
        <v>35</v>
      </c>
      <c r="G75" s="91">
        <v>223.26</v>
      </c>
      <c r="H75" s="98">
        <v>90</v>
      </c>
      <c r="I75" s="99">
        <f>ROUND(($G75*H75),2)</f>
        <v>20093.4</v>
      </c>
    </row>
    <row r="76" spans="1:9" ht="65.25" customHeight="1">
      <c r="A76" s="113" t="s">
        <v>18</v>
      </c>
      <c r="B76" s="115">
        <v>3</v>
      </c>
      <c r="C76" s="115">
        <v>2</v>
      </c>
      <c r="D76" s="116">
        <v>1</v>
      </c>
      <c r="E76" s="89" t="s">
        <v>427</v>
      </c>
      <c r="F76" s="97" t="s">
        <v>64</v>
      </c>
      <c r="G76" s="91">
        <v>48.8</v>
      </c>
      <c r="H76" s="98">
        <v>30</v>
      </c>
      <c r="I76" s="99">
        <f>ROUND(($G76*H76),2)</f>
        <v>1464</v>
      </c>
    </row>
    <row r="77" spans="1:10" s="109" customFormat="1" ht="12.75">
      <c r="A77" s="110" t="s">
        <v>18</v>
      </c>
      <c r="B77" s="111">
        <v>3</v>
      </c>
      <c r="C77" s="111"/>
      <c r="D77" s="112"/>
      <c r="E77" s="118" t="s">
        <v>37</v>
      </c>
      <c r="F77" s="106"/>
      <c r="G77" s="107"/>
      <c r="H77" s="98"/>
      <c r="I77" s="108">
        <f>SUM(I75:I76)</f>
        <v>21557.4</v>
      </c>
      <c r="J77" s="108"/>
    </row>
    <row r="78" spans="1:5" ht="12.75">
      <c r="A78" s="110" t="s">
        <v>18</v>
      </c>
      <c r="B78" s="111">
        <v>4</v>
      </c>
      <c r="C78" s="111"/>
      <c r="E78" s="117" t="s">
        <v>65</v>
      </c>
    </row>
    <row r="79" spans="1:5" ht="12.75">
      <c r="A79" s="103" t="s">
        <v>18</v>
      </c>
      <c r="B79" s="104">
        <v>4</v>
      </c>
      <c r="C79" s="104">
        <v>1</v>
      </c>
      <c r="E79" s="106" t="s">
        <v>66</v>
      </c>
    </row>
    <row r="80" spans="1:5" ht="55.5" customHeight="1">
      <c r="A80" s="113" t="s">
        <v>18</v>
      </c>
      <c r="B80" s="115">
        <v>4</v>
      </c>
      <c r="C80" s="115">
        <v>1</v>
      </c>
      <c r="E80" s="125" t="s">
        <v>428</v>
      </c>
    </row>
    <row r="81" spans="1:9" ht="25.5">
      <c r="A81" s="113" t="s">
        <v>18</v>
      </c>
      <c r="B81" s="115">
        <v>4</v>
      </c>
      <c r="C81" s="115">
        <v>1</v>
      </c>
      <c r="D81" s="116">
        <v>1</v>
      </c>
      <c r="E81" s="96" t="s">
        <v>429</v>
      </c>
      <c r="F81" s="90" t="s">
        <v>64</v>
      </c>
      <c r="G81" s="91">
        <v>358.15</v>
      </c>
      <c r="H81" s="98">
        <v>12</v>
      </c>
      <c r="I81" s="99">
        <f aca="true" t="shared" si="1" ref="I81:I88">ROUND(($G81*H81),2)</f>
        <v>4297.8</v>
      </c>
    </row>
    <row r="82" spans="1:9" ht="25.5">
      <c r="A82" s="113" t="s">
        <v>18</v>
      </c>
      <c r="B82" s="115">
        <v>4</v>
      </c>
      <c r="C82" s="115">
        <v>1</v>
      </c>
      <c r="D82" s="116">
        <v>2</v>
      </c>
      <c r="E82" s="96" t="s">
        <v>430</v>
      </c>
      <c r="F82" s="90" t="s">
        <v>64</v>
      </c>
      <c r="G82" s="91">
        <v>105.4</v>
      </c>
      <c r="H82" s="98">
        <v>10</v>
      </c>
      <c r="I82" s="99">
        <f t="shared" si="1"/>
        <v>1054</v>
      </c>
    </row>
    <row r="83" spans="1:9" ht="25.5">
      <c r="A83" s="113" t="s">
        <v>18</v>
      </c>
      <c r="B83" s="115">
        <v>4</v>
      </c>
      <c r="C83" s="115">
        <v>1</v>
      </c>
      <c r="D83" s="116">
        <v>3</v>
      </c>
      <c r="E83" s="96" t="s">
        <v>431</v>
      </c>
      <c r="F83" s="90" t="s">
        <v>64</v>
      </c>
      <c r="G83" s="91">
        <v>341.6</v>
      </c>
      <c r="H83" s="98">
        <v>18</v>
      </c>
      <c r="I83" s="99">
        <f t="shared" si="1"/>
        <v>6148.8</v>
      </c>
    </row>
    <row r="84" spans="1:9" ht="12.75">
      <c r="A84" s="103" t="s">
        <v>18</v>
      </c>
      <c r="B84" s="104">
        <v>4</v>
      </c>
      <c r="C84" s="104">
        <v>2</v>
      </c>
      <c r="D84" s="102"/>
      <c r="E84" s="117" t="s">
        <v>67</v>
      </c>
      <c r="F84" s="126"/>
      <c r="G84" s="107"/>
      <c r="I84" s="99">
        <f t="shared" si="1"/>
        <v>0</v>
      </c>
    </row>
    <row r="85" spans="1:10" s="109" customFormat="1" ht="80.25" customHeight="1">
      <c r="A85" s="94" t="s">
        <v>18</v>
      </c>
      <c r="B85" s="95">
        <v>4</v>
      </c>
      <c r="C85" s="95">
        <v>2</v>
      </c>
      <c r="D85" s="88">
        <v>1</v>
      </c>
      <c r="E85" s="125" t="s">
        <v>432</v>
      </c>
      <c r="F85" s="90" t="s">
        <v>35</v>
      </c>
      <c r="G85" s="91">
        <v>135.3</v>
      </c>
      <c r="H85" s="98">
        <v>120</v>
      </c>
      <c r="I85" s="99">
        <f t="shared" si="1"/>
        <v>16236</v>
      </c>
      <c r="J85" s="99"/>
    </row>
    <row r="86" spans="1:10" s="109" customFormat="1" ht="12.75">
      <c r="A86" s="94" t="s">
        <v>18</v>
      </c>
      <c r="B86" s="95">
        <v>4</v>
      </c>
      <c r="C86" s="95">
        <v>2</v>
      </c>
      <c r="D86" s="88">
        <v>2</v>
      </c>
      <c r="E86" s="125" t="s">
        <v>68</v>
      </c>
      <c r="F86" s="90" t="s">
        <v>35</v>
      </c>
      <c r="G86" s="91">
        <v>26.32</v>
      </c>
      <c r="H86" s="98">
        <v>150</v>
      </c>
      <c r="I86" s="99">
        <f t="shared" si="1"/>
        <v>3948</v>
      </c>
      <c r="J86" s="99"/>
    </row>
    <row r="87" spans="1:9" ht="12.75">
      <c r="A87" s="110" t="s">
        <v>18</v>
      </c>
      <c r="B87" s="111">
        <v>4</v>
      </c>
      <c r="C87" s="111">
        <v>2</v>
      </c>
      <c r="D87" s="112"/>
      <c r="E87" s="96" t="s">
        <v>69</v>
      </c>
      <c r="F87" s="106"/>
      <c r="G87" s="107"/>
      <c r="I87" s="99">
        <f t="shared" si="1"/>
        <v>0</v>
      </c>
    </row>
    <row r="88" spans="1:10" s="128" customFormat="1" ht="54" customHeight="1">
      <c r="A88" s="94" t="s">
        <v>18</v>
      </c>
      <c r="B88" s="95">
        <v>4</v>
      </c>
      <c r="C88" s="95">
        <v>2</v>
      </c>
      <c r="D88" s="127">
        <v>3</v>
      </c>
      <c r="E88" s="125" t="s">
        <v>433</v>
      </c>
      <c r="F88" s="125" t="s">
        <v>64</v>
      </c>
      <c r="G88" s="91">
        <v>68.19999999999999</v>
      </c>
      <c r="H88" s="98">
        <v>30</v>
      </c>
      <c r="I88" s="99">
        <f t="shared" si="1"/>
        <v>2046</v>
      </c>
      <c r="J88" s="99"/>
    </row>
    <row r="89" spans="1:10" s="109" customFormat="1" ht="12.75">
      <c r="A89" s="103" t="s">
        <v>18</v>
      </c>
      <c r="B89" s="104">
        <v>4</v>
      </c>
      <c r="C89" s="104">
        <v>3</v>
      </c>
      <c r="D89" s="102"/>
      <c r="E89" s="122" t="s">
        <v>70</v>
      </c>
      <c r="F89" s="126"/>
      <c r="G89" s="107"/>
      <c r="H89" s="114"/>
      <c r="I89" s="108"/>
      <c r="J89" s="108"/>
    </row>
    <row r="90" spans="1:10" s="109" customFormat="1" ht="51.75">
      <c r="A90" s="94" t="s">
        <v>18</v>
      </c>
      <c r="B90" s="95">
        <v>4</v>
      </c>
      <c r="C90" s="95">
        <v>3</v>
      </c>
      <c r="D90" s="88"/>
      <c r="E90" s="125" t="s">
        <v>276</v>
      </c>
      <c r="F90" s="90"/>
      <c r="G90" s="91"/>
      <c r="H90" s="98"/>
      <c r="I90" s="108"/>
      <c r="J90" s="108"/>
    </row>
    <row r="91" spans="1:10" s="109" customFormat="1" ht="12.75">
      <c r="A91" s="94" t="s">
        <v>18</v>
      </c>
      <c r="B91" s="95">
        <v>4</v>
      </c>
      <c r="C91" s="95">
        <v>3</v>
      </c>
      <c r="D91" s="88">
        <v>1</v>
      </c>
      <c r="E91" s="125" t="s">
        <v>72</v>
      </c>
      <c r="F91" s="90" t="s">
        <v>73</v>
      </c>
      <c r="G91" s="91">
        <v>3</v>
      </c>
      <c r="H91" s="98">
        <f>950*0.9*2.1</f>
        <v>1795.5</v>
      </c>
      <c r="I91" s="99">
        <f>ROUND(($G91*H91),2)</f>
        <v>5386.5</v>
      </c>
      <c r="J91" s="99"/>
    </row>
    <row r="92" spans="1:10" ht="12.75">
      <c r="A92" s="103" t="s">
        <v>18</v>
      </c>
      <c r="B92" s="104">
        <v>5</v>
      </c>
      <c r="C92" s="104"/>
      <c r="D92" s="102"/>
      <c r="E92" s="118" t="s">
        <v>37</v>
      </c>
      <c r="F92" s="126"/>
      <c r="G92" s="107"/>
      <c r="I92" s="108">
        <f>SUM(I81:I91)</f>
        <v>39117.1</v>
      </c>
      <c r="J92" s="108"/>
    </row>
    <row r="93" spans="1:7" ht="12.75">
      <c r="A93" s="103" t="s">
        <v>18</v>
      </c>
      <c r="B93" s="104">
        <v>5</v>
      </c>
      <c r="C93" s="104"/>
      <c r="D93" s="102"/>
      <c r="E93" s="117" t="s">
        <v>74</v>
      </c>
      <c r="F93" s="126"/>
      <c r="G93" s="107"/>
    </row>
    <row r="94" spans="1:10" s="109" customFormat="1" ht="51.75" customHeight="1">
      <c r="A94" s="94" t="s">
        <v>18</v>
      </c>
      <c r="B94" s="95">
        <v>5</v>
      </c>
      <c r="C94" s="95"/>
      <c r="D94" s="88"/>
      <c r="E94" s="125" t="s">
        <v>277</v>
      </c>
      <c r="F94" s="90"/>
      <c r="G94" s="91"/>
      <c r="H94" s="98"/>
      <c r="I94" s="108"/>
      <c r="J94" s="108"/>
    </row>
    <row r="95" spans="1:7" ht="12.75">
      <c r="A95" s="103" t="s">
        <v>18</v>
      </c>
      <c r="B95" s="104">
        <v>5</v>
      </c>
      <c r="C95" s="104">
        <v>1</v>
      </c>
      <c r="D95" s="102"/>
      <c r="E95" s="117" t="s">
        <v>75</v>
      </c>
      <c r="F95" s="126"/>
      <c r="G95" s="107"/>
    </row>
    <row r="96" spans="1:9" ht="12.75">
      <c r="A96" s="94" t="s">
        <v>18</v>
      </c>
      <c r="B96" s="95">
        <v>5</v>
      </c>
      <c r="C96" s="95">
        <v>1</v>
      </c>
      <c r="D96" s="88">
        <v>1</v>
      </c>
      <c r="E96" s="89" t="s">
        <v>72</v>
      </c>
      <c r="F96" s="90" t="s">
        <v>73</v>
      </c>
      <c r="G96" s="91">
        <v>5</v>
      </c>
      <c r="H96" s="98">
        <f>450*0.9*2.1</f>
        <v>850.5</v>
      </c>
      <c r="I96" s="99">
        <f>ROUND(($G96*H96),2)</f>
        <v>4252.5</v>
      </c>
    </row>
    <row r="97" spans="1:12" s="109" customFormat="1" ht="12.75">
      <c r="A97" s="94" t="s">
        <v>18</v>
      </c>
      <c r="B97" s="95">
        <v>5</v>
      </c>
      <c r="C97" s="95">
        <v>1</v>
      </c>
      <c r="D97" s="88">
        <v>2</v>
      </c>
      <c r="E97" s="89" t="s">
        <v>76</v>
      </c>
      <c r="F97" s="90" t="s">
        <v>73</v>
      </c>
      <c r="G97" s="91">
        <v>5</v>
      </c>
      <c r="H97" s="98">
        <f>450*0.7*2.1</f>
        <v>661.5</v>
      </c>
      <c r="I97" s="99">
        <f>ROUND(($G97*H97),2)</f>
        <v>3307.5</v>
      </c>
      <c r="J97" s="99"/>
      <c r="L97" s="93"/>
    </row>
    <row r="98" spans="1:6" ht="12.75">
      <c r="A98" s="103" t="s">
        <v>18</v>
      </c>
      <c r="B98" s="104">
        <v>5</v>
      </c>
      <c r="C98" s="104">
        <v>2</v>
      </c>
      <c r="D98" s="102"/>
      <c r="E98" s="117" t="s">
        <v>77</v>
      </c>
      <c r="F98" s="126"/>
    </row>
    <row r="99" spans="1:9" ht="12.75">
      <c r="A99" s="94" t="s">
        <v>18</v>
      </c>
      <c r="B99" s="95">
        <v>5</v>
      </c>
      <c r="C99" s="95">
        <v>2</v>
      </c>
      <c r="D99" s="88">
        <v>1</v>
      </c>
      <c r="E99" s="89" t="s">
        <v>78</v>
      </c>
      <c r="F99" s="90" t="s">
        <v>73</v>
      </c>
      <c r="G99" s="91">
        <v>5</v>
      </c>
      <c r="H99" s="98">
        <f>400*1.2</f>
        <v>480</v>
      </c>
      <c r="I99" s="99">
        <f>ROUND(($G99*H99),2)</f>
        <v>2400</v>
      </c>
    </row>
    <row r="100" spans="1:9" ht="12.75">
      <c r="A100" s="94" t="s">
        <v>18</v>
      </c>
      <c r="B100" s="95">
        <v>5</v>
      </c>
      <c r="C100" s="95">
        <v>2</v>
      </c>
      <c r="D100" s="88">
        <v>2</v>
      </c>
      <c r="E100" s="89" t="s">
        <v>79</v>
      </c>
      <c r="F100" s="90" t="s">
        <v>73</v>
      </c>
      <c r="G100" s="91">
        <v>5</v>
      </c>
      <c r="H100" s="98">
        <f>400*1.8*1.2</f>
        <v>864</v>
      </c>
      <c r="I100" s="99">
        <f>ROUND(($G100*H100),2)</f>
        <v>4320</v>
      </c>
    </row>
    <row r="101" spans="1:10" ht="12.75">
      <c r="A101" s="103" t="s">
        <v>18</v>
      </c>
      <c r="B101" s="104">
        <v>5</v>
      </c>
      <c r="C101" s="104"/>
      <c r="D101" s="102"/>
      <c r="E101" s="118" t="s">
        <v>37</v>
      </c>
      <c r="F101" s="126"/>
      <c r="G101" s="107"/>
      <c r="I101" s="108">
        <f>SUM(I96:I100)</f>
        <v>14280</v>
      </c>
      <c r="J101" s="108"/>
    </row>
    <row r="102" spans="1:7" ht="12.75">
      <c r="A102" s="103" t="s">
        <v>18</v>
      </c>
      <c r="B102" s="104">
        <v>6</v>
      </c>
      <c r="C102" s="104"/>
      <c r="D102" s="102"/>
      <c r="E102" s="117" t="s">
        <v>80</v>
      </c>
      <c r="F102" s="126"/>
      <c r="G102" s="107"/>
    </row>
    <row r="103" spans="1:6" ht="12.75">
      <c r="A103" s="94" t="s">
        <v>18</v>
      </c>
      <c r="B103" s="95">
        <v>6</v>
      </c>
      <c r="C103" s="95">
        <v>1</v>
      </c>
      <c r="D103" s="88"/>
      <c r="E103" s="89" t="s">
        <v>434</v>
      </c>
      <c r="F103" s="90"/>
    </row>
    <row r="104" spans="1:9" ht="12.75">
      <c r="A104" s="94" t="s">
        <v>18</v>
      </c>
      <c r="B104" s="95">
        <v>6</v>
      </c>
      <c r="C104" s="95">
        <v>1</v>
      </c>
      <c r="D104" s="88">
        <v>1</v>
      </c>
      <c r="E104" s="89" t="s">
        <v>81</v>
      </c>
      <c r="F104" s="90" t="s">
        <v>35</v>
      </c>
      <c r="G104" s="91">
        <v>324.03</v>
      </c>
      <c r="H104" s="98">
        <v>32</v>
      </c>
      <c r="I104" s="99">
        <f aca="true" t="shared" si="2" ref="I104:I116">ROUND(($G104*H104),2)</f>
        <v>10368.96</v>
      </c>
    </row>
    <row r="105" spans="1:10" s="109" customFormat="1" ht="12.75">
      <c r="A105" s="94" t="s">
        <v>18</v>
      </c>
      <c r="B105" s="95">
        <v>6</v>
      </c>
      <c r="C105" s="95">
        <v>1</v>
      </c>
      <c r="D105" s="88">
        <v>2</v>
      </c>
      <c r="E105" s="89" t="s">
        <v>82</v>
      </c>
      <c r="F105" s="90" t="s">
        <v>35</v>
      </c>
      <c r="G105" s="91">
        <v>191.37</v>
      </c>
      <c r="H105" s="98">
        <v>32</v>
      </c>
      <c r="I105" s="99">
        <f t="shared" si="2"/>
        <v>6123.84</v>
      </c>
      <c r="J105" s="99"/>
    </row>
    <row r="106" spans="1:9" ht="42" customHeight="1">
      <c r="A106" s="94" t="s">
        <v>18</v>
      </c>
      <c r="B106" s="95">
        <v>6</v>
      </c>
      <c r="C106" s="95">
        <v>1</v>
      </c>
      <c r="D106" s="88">
        <v>3</v>
      </c>
      <c r="E106" s="89" t="s">
        <v>435</v>
      </c>
      <c r="F106" s="90" t="s">
        <v>35</v>
      </c>
      <c r="G106" s="91">
        <v>62.25</v>
      </c>
      <c r="H106" s="98">
        <v>27</v>
      </c>
      <c r="I106" s="99">
        <f t="shared" si="2"/>
        <v>1680.75</v>
      </c>
    </row>
    <row r="107" spans="1:10" s="109" customFormat="1" ht="12.75">
      <c r="A107" s="103" t="s">
        <v>18</v>
      </c>
      <c r="B107" s="104">
        <v>6</v>
      </c>
      <c r="C107" s="104">
        <v>2</v>
      </c>
      <c r="D107" s="102"/>
      <c r="E107" s="117" t="s">
        <v>83</v>
      </c>
      <c r="F107" s="126"/>
      <c r="G107" s="107"/>
      <c r="H107" s="114"/>
      <c r="I107" s="108"/>
      <c r="J107" s="108"/>
    </row>
    <row r="108" spans="1:9" ht="12.75">
      <c r="A108" s="94" t="s">
        <v>18</v>
      </c>
      <c r="B108" s="95">
        <v>6</v>
      </c>
      <c r="C108" s="95">
        <v>2</v>
      </c>
      <c r="D108" s="88">
        <v>1</v>
      </c>
      <c r="E108" s="89" t="s">
        <v>436</v>
      </c>
      <c r="F108" s="90" t="s">
        <v>35</v>
      </c>
      <c r="G108" s="91">
        <v>18</v>
      </c>
      <c r="H108" s="98">
        <v>55</v>
      </c>
      <c r="I108" s="99">
        <f t="shared" si="2"/>
        <v>990</v>
      </c>
    </row>
    <row r="109" spans="1:9" ht="12.75">
      <c r="A109" s="94" t="s">
        <v>18</v>
      </c>
      <c r="B109" s="95">
        <v>6</v>
      </c>
      <c r="C109" s="95">
        <v>2</v>
      </c>
      <c r="D109" s="88">
        <v>2</v>
      </c>
      <c r="E109" s="89" t="s">
        <v>278</v>
      </c>
      <c r="F109" s="90" t="s">
        <v>35</v>
      </c>
      <c r="G109" s="91">
        <v>18</v>
      </c>
      <c r="H109" s="98">
        <v>90</v>
      </c>
      <c r="I109" s="99">
        <f t="shared" si="2"/>
        <v>1620</v>
      </c>
    </row>
    <row r="110" spans="1:9" ht="12.75">
      <c r="A110" s="94" t="s">
        <v>18</v>
      </c>
      <c r="B110" s="95">
        <v>6</v>
      </c>
      <c r="C110" s="95">
        <v>2</v>
      </c>
      <c r="D110" s="88">
        <v>3</v>
      </c>
      <c r="E110" s="89" t="s">
        <v>85</v>
      </c>
      <c r="F110" s="90" t="s">
        <v>35</v>
      </c>
      <c r="G110" s="91">
        <v>54.6</v>
      </c>
      <c r="H110" s="98">
        <v>12</v>
      </c>
      <c r="I110" s="99">
        <f t="shared" si="2"/>
        <v>655.2</v>
      </c>
    </row>
    <row r="111" spans="1:9" ht="25.5">
      <c r="A111" s="94" t="s">
        <v>18</v>
      </c>
      <c r="B111" s="95">
        <v>6</v>
      </c>
      <c r="C111" s="95">
        <v>2</v>
      </c>
      <c r="D111" s="88">
        <v>4</v>
      </c>
      <c r="E111" s="89" t="s">
        <v>279</v>
      </c>
      <c r="F111" s="90" t="s">
        <v>35</v>
      </c>
      <c r="G111" s="91">
        <v>54</v>
      </c>
      <c r="H111" s="98">
        <v>120</v>
      </c>
      <c r="I111" s="99">
        <f t="shared" si="2"/>
        <v>6480</v>
      </c>
    </row>
    <row r="112" spans="1:9" ht="25.5">
      <c r="A112" s="94" t="s">
        <v>18</v>
      </c>
      <c r="B112" s="95">
        <v>6</v>
      </c>
      <c r="C112" s="95">
        <v>2</v>
      </c>
      <c r="D112" s="88">
        <v>5</v>
      </c>
      <c r="E112" s="89" t="s">
        <v>280</v>
      </c>
      <c r="F112" s="90" t="s">
        <v>35</v>
      </c>
      <c r="G112" s="91">
        <v>85.8</v>
      </c>
      <c r="H112" s="98">
        <v>18</v>
      </c>
      <c r="I112" s="99">
        <f t="shared" si="2"/>
        <v>1544.4</v>
      </c>
    </row>
    <row r="113" spans="1:10" s="109" customFormat="1" ht="12.75">
      <c r="A113" s="103" t="s">
        <v>18</v>
      </c>
      <c r="B113" s="104">
        <v>6</v>
      </c>
      <c r="C113" s="104">
        <v>3</v>
      </c>
      <c r="D113" s="102"/>
      <c r="E113" s="117" t="s">
        <v>281</v>
      </c>
      <c r="G113" s="107"/>
      <c r="H113" s="98"/>
      <c r="I113" s="99">
        <f t="shared" si="2"/>
        <v>0</v>
      </c>
      <c r="J113" s="108"/>
    </row>
    <row r="114" spans="1:9" ht="12.75">
      <c r="A114" s="94" t="s">
        <v>18</v>
      </c>
      <c r="B114" s="95">
        <v>6</v>
      </c>
      <c r="C114" s="95">
        <v>3</v>
      </c>
      <c r="D114" s="88">
        <v>1</v>
      </c>
      <c r="E114" s="89" t="s">
        <v>89</v>
      </c>
      <c r="F114" s="90" t="s">
        <v>35</v>
      </c>
      <c r="G114" s="91">
        <v>62.25</v>
      </c>
      <c r="H114" s="98">
        <v>110</v>
      </c>
      <c r="I114" s="99">
        <f t="shared" si="2"/>
        <v>6847.5</v>
      </c>
    </row>
    <row r="115" spans="1:10" s="109" customFormat="1" ht="12.75">
      <c r="A115" s="103" t="s">
        <v>18</v>
      </c>
      <c r="B115" s="104">
        <v>6</v>
      </c>
      <c r="C115" s="104">
        <v>4</v>
      </c>
      <c r="D115" s="102"/>
      <c r="E115" s="117" t="s">
        <v>90</v>
      </c>
      <c r="G115" s="107"/>
      <c r="H115" s="98"/>
      <c r="I115" s="99">
        <f t="shared" si="2"/>
        <v>0</v>
      </c>
      <c r="J115" s="108"/>
    </row>
    <row r="116" spans="1:10" s="109" customFormat="1" ht="53.25" customHeight="1">
      <c r="A116" s="94" t="s">
        <v>18</v>
      </c>
      <c r="B116" s="95">
        <v>6</v>
      </c>
      <c r="C116" s="95">
        <v>4</v>
      </c>
      <c r="D116" s="88">
        <v>1</v>
      </c>
      <c r="E116" s="89" t="s">
        <v>437</v>
      </c>
      <c r="F116" s="90" t="s">
        <v>35</v>
      </c>
      <c r="G116" s="91">
        <v>23.28</v>
      </c>
      <c r="H116" s="98">
        <v>120</v>
      </c>
      <c r="I116" s="99">
        <f t="shared" si="2"/>
        <v>2793.6</v>
      </c>
      <c r="J116" s="99"/>
    </row>
    <row r="117" spans="1:10" ht="12.75">
      <c r="A117" s="103" t="s">
        <v>18</v>
      </c>
      <c r="B117" s="104">
        <v>6</v>
      </c>
      <c r="C117" s="104"/>
      <c r="D117" s="102"/>
      <c r="E117" s="118" t="s">
        <v>37</v>
      </c>
      <c r="F117" s="90"/>
      <c r="G117" s="107"/>
      <c r="I117" s="108">
        <f>SUM(I104:I116)</f>
        <v>39104.25</v>
      </c>
      <c r="J117" s="108"/>
    </row>
    <row r="118" spans="1:7" ht="12.75">
      <c r="A118" s="103" t="s">
        <v>18</v>
      </c>
      <c r="B118" s="104">
        <v>7</v>
      </c>
      <c r="C118" s="104"/>
      <c r="D118" s="102"/>
      <c r="E118" s="117" t="s">
        <v>91</v>
      </c>
      <c r="F118" s="126"/>
      <c r="G118" s="107"/>
    </row>
    <row r="119" spans="1:9" ht="26.25" customHeight="1">
      <c r="A119" s="94" t="s">
        <v>18</v>
      </c>
      <c r="B119" s="95">
        <v>7</v>
      </c>
      <c r="C119" s="95">
        <v>1</v>
      </c>
      <c r="D119" s="88">
        <v>1</v>
      </c>
      <c r="E119" s="89" t="s">
        <v>92</v>
      </c>
      <c r="F119" s="126"/>
      <c r="G119" s="91">
        <v>10.26</v>
      </c>
      <c r="H119" s="98">
        <v>72</v>
      </c>
      <c r="I119" s="99">
        <f>ROUND(($G119*H119),2)</f>
        <v>738.72</v>
      </c>
    </row>
    <row r="120" spans="1:10" ht="12.75">
      <c r="A120" s="103" t="s">
        <v>18</v>
      </c>
      <c r="B120" s="104">
        <v>7</v>
      </c>
      <c r="C120" s="104"/>
      <c r="D120" s="102"/>
      <c r="E120" s="118" t="s">
        <v>37</v>
      </c>
      <c r="F120" s="90" t="s">
        <v>35</v>
      </c>
      <c r="G120" s="107"/>
      <c r="I120" s="108">
        <f>SUM(I119)</f>
        <v>738.72</v>
      </c>
      <c r="J120" s="108"/>
    </row>
    <row r="121" spans="1:7" ht="12.75">
      <c r="A121" s="103" t="s">
        <v>18</v>
      </c>
      <c r="B121" s="104">
        <v>8</v>
      </c>
      <c r="C121" s="104"/>
      <c r="D121" s="102"/>
      <c r="E121" s="117" t="s">
        <v>93</v>
      </c>
      <c r="F121" s="126"/>
      <c r="G121" s="107"/>
    </row>
    <row r="122" spans="1:6" ht="28.5" customHeight="1">
      <c r="A122" s="94" t="s">
        <v>18</v>
      </c>
      <c r="B122" s="95">
        <v>8</v>
      </c>
      <c r="C122" s="95">
        <v>1</v>
      </c>
      <c r="D122" s="88"/>
      <c r="E122" s="100" t="s">
        <v>438</v>
      </c>
      <c r="F122" s="126"/>
    </row>
    <row r="123" spans="1:9" ht="12.75">
      <c r="A123" s="94" t="s">
        <v>18</v>
      </c>
      <c r="B123" s="95">
        <v>8</v>
      </c>
      <c r="C123" s="95">
        <v>1</v>
      </c>
      <c r="D123" s="88">
        <v>1</v>
      </c>
      <c r="E123" s="89" t="s">
        <v>94</v>
      </c>
      <c r="F123" s="90" t="s">
        <v>35</v>
      </c>
      <c r="G123" s="91">
        <v>324.03</v>
      </c>
      <c r="H123" s="98">
        <v>15</v>
      </c>
      <c r="I123" s="99">
        <f>ROUND(($G123*H123),2)</f>
        <v>4860.45</v>
      </c>
    </row>
    <row r="124" spans="1:9" ht="12.75">
      <c r="A124" s="94" t="s">
        <v>18</v>
      </c>
      <c r="B124" s="95">
        <v>8</v>
      </c>
      <c r="C124" s="95">
        <v>1</v>
      </c>
      <c r="D124" s="88">
        <v>2</v>
      </c>
      <c r="E124" s="89" t="s">
        <v>95</v>
      </c>
      <c r="F124" s="90" t="s">
        <v>35</v>
      </c>
      <c r="G124" s="91">
        <v>191.37</v>
      </c>
      <c r="H124" s="98">
        <v>15</v>
      </c>
      <c r="I124" s="99">
        <f>ROUND(($G124*H124),2)</f>
        <v>2870.55</v>
      </c>
    </row>
    <row r="125" spans="1:10" s="109" customFormat="1" ht="12.75">
      <c r="A125" s="94" t="s">
        <v>18</v>
      </c>
      <c r="B125" s="95">
        <v>8</v>
      </c>
      <c r="C125" s="95">
        <v>1</v>
      </c>
      <c r="D125" s="88">
        <v>3</v>
      </c>
      <c r="E125" s="89" t="s">
        <v>96</v>
      </c>
      <c r="F125" s="90" t="s">
        <v>35</v>
      </c>
      <c r="G125" s="91">
        <v>135.3</v>
      </c>
      <c r="H125" s="98">
        <v>16</v>
      </c>
      <c r="I125" s="99">
        <f>ROUND(($G125*H125),2)</f>
        <v>2164.8</v>
      </c>
      <c r="J125" s="99"/>
    </row>
    <row r="126" spans="1:10" ht="12.75">
      <c r="A126" s="103" t="s">
        <v>18</v>
      </c>
      <c r="B126" s="104">
        <v>8</v>
      </c>
      <c r="C126" s="104"/>
      <c r="D126" s="102"/>
      <c r="E126" s="118" t="s">
        <v>37</v>
      </c>
      <c r="F126" s="126"/>
      <c r="G126" s="107"/>
      <c r="I126" s="108">
        <f>SUM(I123:I125)</f>
        <v>9895.8</v>
      </c>
      <c r="J126" s="108"/>
    </row>
    <row r="127" spans="1:7" ht="12.75">
      <c r="A127" s="103" t="s">
        <v>18</v>
      </c>
      <c r="B127" s="104">
        <v>9</v>
      </c>
      <c r="C127" s="104"/>
      <c r="D127" s="102"/>
      <c r="E127" s="117" t="s">
        <v>97</v>
      </c>
      <c r="F127" s="126"/>
      <c r="G127" s="107"/>
    </row>
    <row r="128" spans="1:7" ht="12.75">
      <c r="A128" s="103" t="s">
        <v>18</v>
      </c>
      <c r="B128" s="104">
        <v>9</v>
      </c>
      <c r="C128" s="104"/>
      <c r="D128" s="102"/>
      <c r="E128" s="117" t="s">
        <v>98</v>
      </c>
      <c r="F128" s="126"/>
      <c r="G128" s="107"/>
    </row>
    <row r="129" spans="1:9" ht="66" customHeight="1">
      <c r="A129" s="94" t="s">
        <v>18</v>
      </c>
      <c r="B129" s="95">
        <v>9</v>
      </c>
      <c r="C129" s="95">
        <v>1</v>
      </c>
      <c r="D129" s="88">
        <v>1</v>
      </c>
      <c r="E129" s="129" t="s">
        <v>439</v>
      </c>
      <c r="F129" s="90" t="s">
        <v>73</v>
      </c>
      <c r="G129" s="91">
        <v>2</v>
      </c>
      <c r="H129" s="98">
        <v>600</v>
      </c>
      <c r="I129" s="99">
        <f aca="true" t="shared" si="3" ref="I129:I136">ROUND(($G129*H129),2)</f>
        <v>1200</v>
      </c>
    </row>
    <row r="130" spans="1:10" s="109" customFormat="1" ht="42" customHeight="1">
      <c r="A130" s="94" t="s">
        <v>18</v>
      </c>
      <c r="B130" s="95">
        <v>9</v>
      </c>
      <c r="C130" s="95">
        <v>1</v>
      </c>
      <c r="D130" s="88">
        <v>2</v>
      </c>
      <c r="E130" s="89" t="s">
        <v>440</v>
      </c>
      <c r="F130" s="90" t="s">
        <v>73</v>
      </c>
      <c r="G130" s="91">
        <v>2</v>
      </c>
      <c r="H130" s="98">
        <v>800</v>
      </c>
      <c r="I130" s="99">
        <f t="shared" si="3"/>
        <v>1600</v>
      </c>
      <c r="J130" s="99"/>
    </row>
    <row r="131" spans="1:10" s="109" customFormat="1" ht="39">
      <c r="A131" s="94" t="s">
        <v>18</v>
      </c>
      <c r="B131" s="95">
        <v>9</v>
      </c>
      <c r="C131" s="95">
        <v>1</v>
      </c>
      <c r="D131" s="88">
        <v>3</v>
      </c>
      <c r="E131" s="89" t="s">
        <v>441</v>
      </c>
      <c r="F131" s="90" t="s">
        <v>73</v>
      </c>
      <c r="G131" s="91">
        <v>2</v>
      </c>
      <c r="H131" s="98">
        <v>50</v>
      </c>
      <c r="I131" s="99">
        <f t="shared" si="3"/>
        <v>100</v>
      </c>
      <c r="J131" s="99"/>
    </row>
    <row r="132" spans="1:9" ht="54.75" customHeight="1">
      <c r="A132" s="94" t="s">
        <v>18</v>
      </c>
      <c r="B132" s="95">
        <v>9</v>
      </c>
      <c r="C132" s="95">
        <v>1</v>
      </c>
      <c r="D132" s="88">
        <v>4</v>
      </c>
      <c r="E132" s="100" t="s">
        <v>442</v>
      </c>
      <c r="F132" s="90" t="s">
        <v>73</v>
      </c>
      <c r="G132" s="91">
        <v>4</v>
      </c>
      <c r="H132" s="98">
        <v>50</v>
      </c>
      <c r="I132" s="99">
        <f t="shared" si="3"/>
        <v>200</v>
      </c>
    </row>
    <row r="133" spans="1:9" ht="39">
      <c r="A133" s="94" t="s">
        <v>18</v>
      </c>
      <c r="B133" s="95">
        <v>9</v>
      </c>
      <c r="C133" s="95">
        <v>1</v>
      </c>
      <c r="D133" s="88">
        <v>5</v>
      </c>
      <c r="E133" s="100" t="s">
        <v>443</v>
      </c>
      <c r="F133" s="90" t="s">
        <v>73</v>
      </c>
      <c r="G133" s="91">
        <v>2</v>
      </c>
      <c r="H133" s="98">
        <v>600</v>
      </c>
      <c r="I133" s="99">
        <f t="shared" si="3"/>
        <v>1200</v>
      </c>
    </row>
    <row r="134" spans="1:9" ht="51.75">
      <c r="A134" s="94" t="s">
        <v>18</v>
      </c>
      <c r="B134" s="95">
        <v>9</v>
      </c>
      <c r="C134" s="95">
        <v>1</v>
      </c>
      <c r="D134" s="88">
        <v>6</v>
      </c>
      <c r="E134" s="100" t="s">
        <v>444</v>
      </c>
      <c r="F134" s="90" t="s">
        <v>73</v>
      </c>
      <c r="G134" s="91">
        <v>2</v>
      </c>
      <c r="H134" s="98">
        <v>900</v>
      </c>
      <c r="I134" s="99">
        <f t="shared" si="3"/>
        <v>1800</v>
      </c>
    </row>
    <row r="135" spans="1:10" s="109" customFormat="1" ht="53.25" customHeight="1">
      <c r="A135" s="94" t="s">
        <v>18</v>
      </c>
      <c r="B135" s="95">
        <v>9</v>
      </c>
      <c r="C135" s="95">
        <v>1</v>
      </c>
      <c r="D135" s="88">
        <v>7</v>
      </c>
      <c r="E135" s="89" t="s">
        <v>445</v>
      </c>
      <c r="F135" s="90" t="s">
        <v>73</v>
      </c>
      <c r="G135" s="91">
        <v>2</v>
      </c>
      <c r="H135" s="98">
        <v>90</v>
      </c>
      <c r="I135" s="99">
        <f t="shared" si="3"/>
        <v>180</v>
      </c>
      <c r="J135" s="99"/>
    </row>
    <row r="136" spans="1:9" ht="54" customHeight="1">
      <c r="A136" s="94" t="s">
        <v>18</v>
      </c>
      <c r="B136" s="95">
        <v>9</v>
      </c>
      <c r="C136" s="95">
        <v>1</v>
      </c>
      <c r="D136" s="88">
        <v>8</v>
      </c>
      <c r="E136" s="89" t="s">
        <v>446</v>
      </c>
      <c r="F136" s="90" t="s">
        <v>73</v>
      </c>
      <c r="G136" s="91">
        <v>2</v>
      </c>
      <c r="H136" s="98">
        <v>120</v>
      </c>
      <c r="I136" s="99">
        <f t="shared" si="3"/>
        <v>240</v>
      </c>
    </row>
    <row r="137" spans="1:7" ht="12.75">
      <c r="A137" s="103" t="s">
        <v>18</v>
      </c>
      <c r="B137" s="104">
        <v>9</v>
      </c>
      <c r="C137" s="104">
        <v>2</v>
      </c>
      <c r="D137" s="102"/>
      <c r="E137" s="117" t="s">
        <v>99</v>
      </c>
      <c r="F137" s="126"/>
      <c r="G137" s="107"/>
    </row>
    <row r="138" spans="1:10" s="109" customFormat="1" ht="51.75">
      <c r="A138" s="94" t="s">
        <v>18</v>
      </c>
      <c r="B138" s="95">
        <v>9</v>
      </c>
      <c r="C138" s="95">
        <v>2</v>
      </c>
      <c r="D138" s="88"/>
      <c r="E138" s="129" t="s">
        <v>100</v>
      </c>
      <c r="F138" s="90"/>
      <c r="G138" s="91"/>
      <c r="H138" s="98"/>
      <c r="I138" s="99"/>
      <c r="J138" s="108"/>
    </row>
    <row r="139" spans="1:6" ht="41.25" customHeight="1">
      <c r="A139" s="94" t="s">
        <v>18</v>
      </c>
      <c r="B139" s="95">
        <v>9</v>
      </c>
      <c r="C139" s="95">
        <v>2</v>
      </c>
      <c r="D139" s="88"/>
      <c r="E139" s="130" t="s">
        <v>447</v>
      </c>
      <c r="F139" s="90"/>
    </row>
    <row r="140" spans="1:9" ht="12.75">
      <c r="A140" s="94" t="s">
        <v>18</v>
      </c>
      <c r="B140" s="95">
        <v>9</v>
      </c>
      <c r="C140" s="95">
        <v>2</v>
      </c>
      <c r="D140" s="88">
        <v>1</v>
      </c>
      <c r="E140" s="89" t="s">
        <v>101</v>
      </c>
      <c r="F140" s="90" t="s">
        <v>64</v>
      </c>
      <c r="G140" s="91">
        <v>12</v>
      </c>
      <c r="H140" s="98">
        <v>15</v>
      </c>
      <c r="I140" s="99">
        <f>ROUND(($G140*H140),2)</f>
        <v>180</v>
      </c>
    </row>
    <row r="141" spans="1:6" ht="12.75">
      <c r="A141" s="103" t="s">
        <v>18</v>
      </c>
      <c r="B141" s="104">
        <v>9</v>
      </c>
      <c r="C141" s="104">
        <v>3</v>
      </c>
      <c r="D141" s="102"/>
      <c r="E141" s="117" t="s">
        <v>102</v>
      </c>
      <c r="F141" s="90"/>
    </row>
    <row r="142" spans="1:6" ht="39">
      <c r="A142" s="94" t="s">
        <v>18</v>
      </c>
      <c r="B142" s="95">
        <v>9</v>
      </c>
      <c r="C142" s="95">
        <v>3</v>
      </c>
      <c r="D142" s="88"/>
      <c r="E142" s="89" t="s">
        <v>448</v>
      </c>
      <c r="F142" s="90"/>
    </row>
    <row r="143" spans="1:9" ht="12.75">
      <c r="A143" s="94" t="s">
        <v>18</v>
      </c>
      <c r="B143" s="95">
        <v>9</v>
      </c>
      <c r="C143" s="95">
        <v>3</v>
      </c>
      <c r="D143" s="88">
        <v>1</v>
      </c>
      <c r="E143" s="89" t="s">
        <v>103</v>
      </c>
      <c r="F143" s="90" t="s">
        <v>73</v>
      </c>
      <c r="G143" s="91">
        <v>4</v>
      </c>
      <c r="H143" s="98">
        <v>30</v>
      </c>
      <c r="I143" s="99">
        <f>ROUND(($G143*H143),2)</f>
        <v>120</v>
      </c>
    </row>
    <row r="144" spans="1:7" ht="12.75">
      <c r="A144" s="103" t="s">
        <v>18</v>
      </c>
      <c r="B144" s="104">
        <v>9</v>
      </c>
      <c r="C144" s="104">
        <v>4</v>
      </c>
      <c r="D144" s="102"/>
      <c r="E144" s="117" t="s">
        <v>104</v>
      </c>
      <c r="F144" s="126"/>
      <c r="G144" s="107"/>
    </row>
    <row r="145" spans="1:6" ht="51.75">
      <c r="A145" s="94" t="s">
        <v>18</v>
      </c>
      <c r="B145" s="95">
        <v>9</v>
      </c>
      <c r="C145" s="95">
        <v>4</v>
      </c>
      <c r="D145" s="88"/>
      <c r="E145" s="129" t="s">
        <v>105</v>
      </c>
      <c r="F145" s="90"/>
    </row>
    <row r="146" spans="1:6" ht="25.5">
      <c r="A146" s="94" t="s">
        <v>18</v>
      </c>
      <c r="B146" s="95">
        <v>9</v>
      </c>
      <c r="C146" s="95">
        <v>4</v>
      </c>
      <c r="D146" s="88"/>
      <c r="E146" s="129" t="s">
        <v>449</v>
      </c>
      <c r="F146" s="90"/>
    </row>
    <row r="147" spans="1:10" s="109" customFormat="1" ht="12.75">
      <c r="A147" s="94" t="s">
        <v>18</v>
      </c>
      <c r="B147" s="95">
        <v>9</v>
      </c>
      <c r="C147" s="95">
        <v>4</v>
      </c>
      <c r="D147" s="88">
        <v>1</v>
      </c>
      <c r="E147" s="89" t="s">
        <v>106</v>
      </c>
      <c r="F147" s="90" t="s">
        <v>64</v>
      </c>
      <c r="G147" s="91">
        <v>7</v>
      </c>
      <c r="H147" s="98">
        <v>30</v>
      </c>
      <c r="I147" s="99">
        <f>ROUND(($G147*H147),2)</f>
        <v>210</v>
      </c>
      <c r="J147" s="99"/>
    </row>
    <row r="148" spans="1:9" ht="12.75">
      <c r="A148" s="94" t="s">
        <v>18</v>
      </c>
      <c r="B148" s="95">
        <v>9</v>
      </c>
      <c r="C148" s="95">
        <v>4</v>
      </c>
      <c r="D148" s="88">
        <v>2</v>
      </c>
      <c r="E148" s="89" t="s">
        <v>107</v>
      </c>
      <c r="F148" s="90" t="s">
        <v>64</v>
      </c>
      <c r="G148" s="91">
        <v>3.5</v>
      </c>
      <c r="H148" s="98">
        <v>50</v>
      </c>
      <c r="I148" s="99">
        <f>ROUND(($G148*H148),2)</f>
        <v>175</v>
      </c>
    </row>
    <row r="149" spans="1:9" ht="42" customHeight="1">
      <c r="A149" s="94" t="s">
        <v>18</v>
      </c>
      <c r="B149" s="95">
        <v>9</v>
      </c>
      <c r="C149" s="95">
        <v>5</v>
      </c>
      <c r="D149" s="88"/>
      <c r="E149" s="131" t="s">
        <v>108</v>
      </c>
      <c r="F149" s="90"/>
      <c r="I149" s="99">
        <f>ROUND(($G149*H149),2)</f>
        <v>0</v>
      </c>
    </row>
    <row r="150" spans="1:9" ht="12.75">
      <c r="A150" s="94" t="s">
        <v>18</v>
      </c>
      <c r="B150" s="95">
        <v>9</v>
      </c>
      <c r="C150" s="95">
        <v>5</v>
      </c>
      <c r="D150" s="88">
        <v>1</v>
      </c>
      <c r="E150" s="89" t="s">
        <v>109</v>
      </c>
      <c r="F150" s="90" t="s">
        <v>64</v>
      </c>
      <c r="G150" s="91">
        <v>24</v>
      </c>
      <c r="H150" s="98">
        <v>30</v>
      </c>
      <c r="I150" s="99">
        <f>ROUND(($G150*H150),2)</f>
        <v>720</v>
      </c>
    </row>
    <row r="151" spans="1:9" ht="51.75">
      <c r="A151" s="94" t="s">
        <v>18</v>
      </c>
      <c r="B151" s="95">
        <v>9</v>
      </c>
      <c r="C151" s="95">
        <v>6</v>
      </c>
      <c r="D151" s="88">
        <v>1</v>
      </c>
      <c r="E151" s="117" t="s">
        <v>450</v>
      </c>
      <c r="F151" s="90" t="s">
        <v>73</v>
      </c>
      <c r="G151" s="91">
        <v>3</v>
      </c>
      <c r="H151" s="98">
        <v>1200</v>
      </c>
      <c r="I151" s="99">
        <f>ROUND(($G151*H151),2)</f>
        <v>3600</v>
      </c>
    </row>
    <row r="152" spans="1:10" ht="12.75">
      <c r="A152" s="103" t="s">
        <v>18</v>
      </c>
      <c r="B152" s="104">
        <v>9</v>
      </c>
      <c r="C152" s="104"/>
      <c r="D152" s="102"/>
      <c r="E152" s="118" t="s">
        <v>37</v>
      </c>
      <c r="F152" s="126"/>
      <c r="G152" s="107"/>
      <c r="I152" s="108">
        <f>SUM(I129:I151)</f>
        <v>11525</v>
      </c>
      <c r="J152" s="108"/>
    </row>
    <row r="153" spans="1:6" ht="12.75">
      <c r="A153" s="103" t="s">
        <v>18</v>
      </c>
      <c r="B153" s="104">
        <v>10</v>
      </c>
      <c r="C153" s="104"/>
      <c r="D153" s="102"/>
      <c r="E153" s="117" t="s">
        <v>110</v>
      </c>
      <c r="F153" s="90"/>
    </row>
    <row r="154" spans="1:6" ht="12.75">
      <c r="A154" s="103" t="s">
        <v>18</v>
      </c>
      <c r="B154" s="104">
        <v>10</v>
      </c>
      <c r="C154" s="104">
        <v>1</v>
      </c>
      <c r="D154" s="88"/>
      <c r="E154" s="117" t="s">
        <v>111</v>
      </c>
      <c r="F154" s="90"/>
    </row>
    <row r="155" spans="1:12" s="99" customFormat="1" ht="12.75">
      <c r="A155" s="103" t="s">
        <v>18</v>
      </c>
      <c r="B155" s="104">
        <v>10</v>
      </c>
      <c r="C155" s="104">
        <v>3</v>
      </c>
      <c r="D155" s="88"/>
      <c r="E155" s="117" t="s">
        <v>112</v>
      </c>
      <c r="F155" s="90"/>
      <c r="G155" s="91"/>
      <c r="H155" s="98"/>
      <c r="K155" s="93"/>
      <c r="L155" s="93"/>
    </row>
    <row r="156" spans="1:12" s="99" customFormat="1" ht="12.75">
      <c r="A156" s="94" t="s">
        <v>18</v>
      </c>
      <c r="B156" s="95">
        <v>10</v>
      </c>
      <c r="C156" s="95">
        <v>3</v>
      </c>
      <c r="D156" s="88">
        <v>1</v>
      </c>
      <c r="E156" s="89" t="s">
        <v>451</v>
      </c>
      <c r="F156" s="90" t="s">
        <v>64</v>
      </c>
      <c r="G156" s="91">
        <f>3.6*(G160+G165)</f>
        <v>90</v>
      </c>
      <c r="H156" s="98">
        <v>90</v>
      </c>
      <c r="I156" s="99">
        <f>ROUND(($G156*H156),2)</f>
        <v>8100</v>
      </c>
      <c r="K156" s="93"/>
      <c r="L156" s="93"/>
    </row>
    <row r="157" spans="1:12" s="99" customFormat="1" ht="12.75">
      <c r="A157" s="103" t="s">
        <v>18</v>
      </c>
      <c r="B157" s="104">
        <v>10</v>
      </c>
      <c r="C157" s="104">
        <v>4</v>
      </c>
      <c r="D157" s="88"/>
      <c r="E157" s="117" t="s">
        <v>113</v>
      </c>
      <c r="F157" s="90"/>
      <c r="G157" s="91"/>
      <c r="H157" s="98"/>
      <c r="K157" s="93"/>
      <c r="L157" s="93"/>
    </row>
    <row r="158" spans="1:12" s="99" customFormat="1" ht="105.75" customHeight="1">
      <c r="A158" s="94" t="s">
        <v>18</v>
      </c>
      <c r="B158" s="95">
        <v>10</v>
      </c>
      <c r="C158" s="95">
        <v>4</v>
      </c>
      <c r="D158" s="88">
        <v>1</v>
      </c>
      <c r="E158" s="129" t="s">
        <v>452</v>
      </c>
      <c r="F158" s="90" t="s">
        <v>73</v>
      </c>
      <c r="G158" s="91">
        <v>1</v>
      </c>
      <c r="H158" s="98">
        <v>1000</v>
      </c>
      <c r="I158" s="99">
        <f>ROUND(($G158*H158),2)</f>
        <v>1000</v>
      </c>
      <c r="K158" s="93"/>
      <c r="L158" s="93"/>
    </row>
    <row r="159" spans="1:12" s="99" customFormat="1" ht="12.75">
      <c r="A159" s="103" t="s">
        <v>18</v>
      </c>
      <c r="B159" s="104">
        <v>10</v>
      </c>
      <c r="C159" s="104">
        <v>5</v>
      </c>
      <c r="D159" s="88"/>
      <c r="E159" s="117" t="s">
        <v>114</v>
      </c>
      <c r="F159" s="90"/>
      <c r="G159" s="91"/>
      <c r="H159" s="98"/>
      <c r="K159" s="93"/>
      <c r="L159" s="93"/>
    </row>
    <row r="160" spans="1:12" s="99" customFormat="1" ht="54" customHeight="1">
      <c r="A160" s="94" t="s">
        <v>18</v>
      </c>
      <c r="B160" s="95">
        <v>10</v>
      </c>
      <c r="C160" s="95">
        <v>5</v>
      </c>
      <c r="D160" s="88">
        <v>1</v>
      </c>
      <c r="E160" s="89" t="s">
        <v>453</v>
      </c>
      <c r="F160" s="90" t="s">
        <v>73</v>
      </c>
      <c r="G160" s="91">
        <v>15</v>
      </c>
      <c r="H160" s="98">
        <v>120</v>
      </c>
      <c r="I160" s="99">
        <f>ROUND(($G160*H160),2)</f>
        <v>1800</v>
      </c>
      <c r="K160" s="93"/>
      <c r="L160" s="93"/>
    </row>
    <row r="161" spans="1:12" s="99" customFormat="1" ht="12.75">
      <c r="A161" s="103" t="s">
        <v>18</v>
      </c>
      <c r="B161" s="104">
        <v>10</v>
      </c>
      <c r="C161" s="104">
        <v>6</v>
      </c>
      <c r="D161" s="88"/>
      <c r="E161" s="117" t="s">
        <v>115</v>
      </c>
      <c r="F161" s="90"/>
      <c r="G161" s="91"/>
      <c r="H161" s="98"/>
      <c r="K161" s="93"/>
      <c r="L161" s="93"/>
    </row>
    <row r="162" spans="1:12" s="99" customFormat="1" ht="12.75">
      <c r="A162" s="94" t="s">
        <v>18</v>
      </c>
      <c r="B162" s="95">
        <v>10</v>
      </c>
      <c r="C162" s="95">
        <v>6</v>
      </c>
      <c r="D162" s="88">
        <v>1</v>
      </c>
      <c r="E162" s="89" t="s">
        <v>454</v>
      </c>
      <c r="F162" s="90" t="s">
        <v>73</v>
      </c>
      <c r="G162" s="91">
        <v>10</v>
      </c>
      <c r="H162" s="98">
        <v>50</v>
      </c>
      <c r="I162" s="99">
        <f>ROUND(($G162*H162),2)</f>
        <v>500</v>
      </c>
      <c r="K162" s="93"/>
      <c r="L162" s="93"/>
    </row>
    <row r="163" spans="1:12" s="99" customFormat="1" ht="12.75">
      <c r="A163" s="94" t="s">
        <v>18</v>
      </c>
      <c r="B163" s="95">
        <v>10</v>
      </c>
      <c r="C163" s="95">
        <v>6</v>
      </c>
      <c r="D163" s="88">
        <v>3</v>
      </c>
      <c r="E163" s="89" t="s">
        <v>455</v>
      </c>
      <c r="F163" s="90" t="s">
        <v>73</v>
      </c>
      <c r="G163" s="91">
        <v>10</v>
      </c>
      <c r="H163" s="98">
        <v>70</v>
      </c>
      <c r="I163" s="99">
        <f>ROUND(($G163*H163),2)</f>
        <v>700</v>
      </c>
      <c r="K163" s="93"/>
      <c r="L163" s="93"/>
    </row>
    <row r="164" spans="1:12" s="99" customFormat="1" ht="12.75">
      <c r="A164" s="103" t="s">
        <v>18</v>
      </c>
      <c r="B164" s="104">
        <v>10</v>
      </c>
      <c r="C164" s="104">
        <v>7</v>
      </c>
      <c r="D164" s="88"/>
      <c r="E164" s="117" t="s">
        <v>116</v>
      </c>
      <c r="F164" s="90"/>
      <c r="G164" s="91"/>
      <c r="H164" s="98"/>
      <c r="I164" s="99">
        <f>ROUND(($G164*H164),2)</f>
        <v>0</v>
      </c>
      <c r="K164" s="93"/>
      <c r="L164" s="93"/>
    </row>
    <row r="165" spans="1:12" s="99" customFormat="1" ht="53.25" customHeight="1">
      <c r="A165" s="94" t="s">
        <v>18</v>
      </c>
      <c r="B165" s="95">
        <v>10</v>
      </c>
      <c r="C165" s="95">
        <v>7</v>
      </c>
      <c r="D165" s="88">
        <v>1</v>
      </c>
      <c r="E165" s="89" t="s">
        <v>117</v>
      </c>
      <c r="F165" s="90" t="s">
        <v>73</v>
      </c>
      <c r="G165" s="91">
        <v>10</v>
      </c>
      <c r="H165" s="98">
        <v>120</v>
      </c>
      <c r="I165" s="99">
        <f>ROUND(($G165*H165),2)</f>
        <v>1200</v>
      </c>
      <c r="K165" s="93"/>
      <c r="L165" s="93"/>
    </row>
    <row r="166" spans="1:12" s="99" customFormat="1" ht="12.75">
      <c r="A166" s="103" t="s">
        <v>18</v>
      </c>
      <c r="B166" s="104">
        <v>10</v>
      </c>
      <c r="C166" s="104">
        <v>7</v>
      </c>
      <c r="D166" s="88"/>
      <c r="E166" s="117" t="s">
        <v>118</v>
      </c>
      <c r="F166" s="90"/>
      <c r="G166" s="91"/>
      <c r="H166" s="98"/>
      <c r="K166" s="93"/>
      <c r="L166" s="93"/>
    </row>
    <row r="167" spans="1:6" ht="28.5" customHeight="1">
      <c r="A167" s="94" t="s">
        <v>18</v>
      </c>
      <c r="B167" s="95">
        <v>10</v>
      </c>
      <c r="C167" s="95">
        <v>7</v>
      </c>
      <c r="D167" s="88"/>
      <c r="E167" s="89" t="s">
        <v>456</v>
      </c>
      <c r="F167" s="90"/>
    </row>
    <row r="168" spans="1:9" ht="12.75">
      <c r="A168" s="94" t="s">
        <v>18</v>
      </c>
      <c r="B168" s="95">
        <v>10</v>
      </c>
      <c r="C168" s="95">
        <v>7</v>
      </c>
      <c r="D168" s="88">
        <v>1</v>
      </c>
      <c r="E168" s="89" t="s">
        <v>457</v>
      </c>
      <c r="F168" s="90" t="s">
        <v>73</v>
      </c>
      <c r="G168" s="91">
        <v>10</v>
      </c>
      <c r="H168" s="98">
        <v>50</v>
      </c>
      <c r="I168" s="99">
        <f>ROUND(($G168*H168),2)</f>
        <v>500</v>
      </c>
    </row>
    <row r="169" spans="1:6" ht="12.75">
      <c r="A169" s="103" t="s">
        <v>18</v>
      </c>
      <c r="B169" s="104">
        <v>10</v>
      </c>
      <c r="C169" s="104">
        <v>8</v>
      </c>
      <c r="D169" s="88"/>
      <c r="E169" s="117" t="s">
        <v>119</v>
      </c>
      <c r="F169" s="90"/>
    </row>
    <row r="170" spans="1:6" ht="29.25" customHeight="1">
      <c r="A170" s="94" t="s">
        <v>18</v>
      </c>
      <c r="B170" s="95">
        <v>10</v>
      </c>
      <c r="C170" s="95">
        <v>8</v>
      </c>
      <c r="D170" s="88"/>
      <c r="E170" s="97" t="s">
        <v>458</v>
      </c>
      <c r="F170" s="90"/>
    </row>
    <row r="171" spans="1:9" ht="25.5">
      <c r="A171" s="94" t="s">
        <v>18</v>
      </c>
      <c r="B171" s="95">
        <v>10</v>
      </c>
      <c r="C171" s="95">
        <v>8</v>
      </c>
      <c r="D171" s="88">
        <v>1</v>
      </c>
      <c r="E171" s="117" t="s">
        <v>459</v>
      </c>
      <c r="F171" s="90" t="s">
        <v>73</v>
      </c>
      <c r="G171" s="91">
        <v>5</v>
      </c>
      <c r="H171" s="98">
        <v>800</v>
      </c>
      <c r="I171" s="99">
        <f>ROUND(($G171*H171),2)</f>
        <v>4000</v>
      </c>
    </row>
    <row r="172" spans="1:9" ht="12.75">
      <c r="A172" s="94" t="s">
        <v>18</v>
      </c>
      <c r="B172" s="95">
        <v>10</v>
      </c>
      <c r="C172" s="95">
        <v>8</v>
      </c>
      <c r="D172" s="88">
        <v>2</v>
      </c>
      <c r="E172" s="117" t="s">
        <v>460</v>
      </c>
      <c r="F172" s="90" t="s">
        <v>73</v>
      </c>
      <c r="G172" s="91">
        <v>10</v>
      </c>
      <c r="H172" s="98">
        <v>800</v>
      </c>
      <c r="I172" s="99">
        <f>ROUND(($G172*H172),2)</f>
        <v>8000</v>
      </c>
    </row>
    <row r="173" spans="1:10" ht="12.75">
      <c r="A173" s="103" t="s">
        <v>18</v>
      </c>
      <c r="B173" s="104">
        <v>10</v>
      </c>
      <c r="C173" s="104"/>
      <c r="D173" s="102"/>
      <c r="E173" s="118" t="s">
        <v>37</v>
      </c>
      <c r="F173" s="126"/>
      <c r="G173" s="107"/>
      <c r="I173" s="108">
        <f>SUM(I155:I172)</f>
        <v>25800</v>
      </c>
      <c r="J173" s="108"/>
    </row>
  </sheetData>
  <sheetProtection/>
  <autoFilter ref="A1:J173"/>
  <printOptions gridLines="1"/>
  <pageMargins left="0.5905511811023623" right="0.3937007874015748" top="0.29" bottom="0.5118110236220472" header="0.2362204724409449" footer="0.2362204724409449"/>
  <pageSetup fitToHeight="20" fitToWidth="1" horizontalDpi="600" verticalDpi="600" orientation="portrait" paperSize="9"/>
  <headerFooter alignWithMargins="0">
    <oddFooter>&amp;CPage &amp;P&amp;RTake off sheet for  Engineer's accommodation type C</oddFooter>
  </headerFooter>
  <rowBreaks count="8" manualBreakCount="8">
    <brk id="30" max="255" man="1"/>
    <brk id="37" max="255" man="1"/>
    <brk id="51" max="255" man="1"/>
    <brk id="55" max="255" man="1"/>
    <brk id="69" max="255" man="1"/>
    <brk id="74" max="255" man="1"/>
    <brk id="77" max="255" man="1"/>
    <brk id="115" max="255" man="1"/>
  </rowBreaks>
</worksheet>
</file>

<file path=xl/worksheets/sheet2.xml><?xml version="1.0" encoding="utf-8"?>
<worksheet xmlns="http://schemas.openxmlformats.org/spreadsheetml/2006/main" xmlns:r="http://schemas.openxmlformats.org/officeDocument/2006/relationships">
  <dimension ref="A1:G291"/>
  <sheetViews>
    <sheetView zoomScalePageLayoutView="0" workbookViewId="0" topLeftCell="A1">
      <selection activeCell="K29" sqref="K29"/>
    </sheetView>
  </sheetViews>
  <sheetFormatPr defaultColWidth="8.8515625" defaultRowHeight="12.75"/>
  <cols>
    <col min="1" max="1" width="8.8515625" style="0" customWidth="1"/>
    <col min="2" max="2" width="40.8515625" style="0" customWidth="1"/>
    <col min="3" max="4" width="8.8515625" style="0" customWidth="1"/>
    <col min="5" max="5" width="20.7109375" style="0" bestFit="1" customWidth="1"/>
    <col min="6" max="6" width="13.28125" style="0" bestFit="1" customWidth="1"/>
    <col min="7" max="7" width="9.140625" style="328" customWidth="1"/>
  </cols>
  <sheetData>
    <row r="1" spans="1:7" ht="15.75">
      <c r="A1" s="320" t="s">
        <v>478</v>
      </c>
      <c r="B1" s="320" t="s">
        <v>479</v>
      </c>
      <c r="C1" s="321" t="s">
        <v>480</v>
      </c>
      <c r="D1" s="322" t="s">
        <v>481</v>
      </c>
      <c r="E1" s="321" t="s">
        <v>381</v>
      </c>
      <c r="F1" s="323" t="s">
        <v>482</v>
      </c>
      <c r="G1" s="324" t="s">
        <v>6</v>
      </c>
    </row>
    <row r="2" spans="1:7" ht="16.5" thickBot="1">
      <c r="A2" s="325"/>
      <c r="B2" s="325"/>
      <c r="C2" s="326"/>
      <c r="D2" s="327"/>
      <c r="E2" s="326"/>
      <c r="F2" t="s">
        <v>483</v>
      </c>
      <c r="G2" s="328" t="s">
        <v>484</v>
      </c>
    </row>
    <row r="3" spans="1:5" ht="15.75">
      <c r="A3" s="329"/>
      <c r="B3" s="330"/>
      <c r="C3" s="331"/>
      <c r="D3" s="332"/>
      <c r="E3" s="333"/>
    </row>
    <row r="4" spans="1:5" ht="15.75">
      <c r="A4" s="329"/>
      <c r="B4" s="334" t="s">
        <v>485</v>
      </c>
      <c r="C4" s="331"/>
      <c r="D4" s="332"/>
      <c r="E4" s="333"/>
    </row>
    <row r="5" spans="1:5" ht="15.75">
      <c r="A5" s="335"/>
      <c r="B5" s="330"/>
      <c r="C5" s="331"/>
      <c r="D5" s="336"/>
      <c r="E5" s="333"/>
    </row>
    <row r="6" spans="1:5" ht="15.75">
      <c r="A6" s="329"/>
      <c r="B6" s="334" t="s">
        <v>486</v>
      </c>
      <c r="C6" s="331"/>
      <c r="D6" s="336"/>
      <c r="E6" s="333"/>
    </row>
    <row r="7" spans="1:5" ht="15.75">
      <c r="A7" s="329"/>
      <c r="B7" s="334" t="s">
        <v>487</v>
      </c>
      <c r="C7" s="331"/>
      <c r="D7" s="336"/>
      <c r="E7" s="333"/>
    </row>
    <row r="8" spans="1:5" ht="15.75">
      <c r="A8" s="329"/>
      <c r="B8" s="334" t="s">
        <v>488</v>
      </c>
      <c r="C8" s="331"/>
      <c r="D8" s="336"/>
      <c r="E8" s="333"/>
    </row>
    <row r="9" spans="1:5" ht="16.5" thickBot="1">
      <c r="A9" s="329"/>
      <c r="B9" s="334"/>
      <c r="C9" s="331"/>
      <c r="D9" s="332"/>
      <c r="E9" s="333"/>
    </row>
    <row r="10" spans="1:7" ht="18.75" thickTop="1">
      <c r="A10" s="337" t="s">
        <v>489</v>
      </c>
      <c r="B10" s="338" t="s">
        <v>490</v>
      </c>
      <c r="C10" s="339" t="s">
        <v>491</v>
      </c>
      <c r="D10" s="340">
        <v>174</v>
      </c>
      <c r="E10" s="341" t="s">
        <v>129</v>
      </c>
      <c r="F10" s="342">
        <f>5/8</f>
        <v>0.625</v>
      </c>
      <c r="G10" s="343">
        <f>D10/F10</f>
        <v>278.4</v>
      </c>
    </row>
    <row r="11" spans="1:7" ht="16.5" thickBot="1">
      <c r="A11" s="344"/>
      <c r="B11" s="345"/>
      <c r="C11" s="346"/>
      <c r="D11" s="347"/>
      <c r="E11" s="348" t="s">
        <v>130</v>
      </c>
      <c r="F11" s="349">
        <f>F10*15</f>
        <v>9.375</v>
      </c>
      <c r="G11" s="350">
        <f>D10/F11</f>
        <v>18.56</v>
      </c>
    </row>
    <row r="12" spans="1:7" ht="18.75" thickTop="1">
      <c r="A12" s="337" t="s">
        <v>492</v>
      </c>
      <c r="B12" s="338" t="s">
        <v>493</v>
      </c>
      <c r="C12" s="339" t="s">
        <v>494</v>
      </c>
      <c r="D12" s="340">
        <v>112</v>
      </c>
      <c r="E12" s="341" t="s">
        <v>129</v>
      </c>
      <c r="F12" s="342">
        <f>1/8</f>
        <v>0.125</v>
      </c>
      <c r="G12" s="343">
        <f>D12/F12</f>
        <v>896</v>
      </c>
    </row>
    <row r="13" spans="1:7" ht="16.5" thickBot="1">
      <c r="A13" s="344"/>
      <c r="B13" s="345"/>
      <c r="C13" s="346"/>
      <c r="D13" s="347"/>
      <c r="E13" s="348" t="s">
        <v>130</v>
      </c>
      <c r="F13" s="349">
        <f>F12*15</f>
        <v>1.875</v>
      </c>
      <c r="G13" s="350">
        <f>D12/F13</f>
        <v>59.733333333333334</v>
      </c>
    </row>
    <row r="14" spans="1:7" ht="18.75" thickTop="1">
      <c r="A14" s="337" t="s">
        <v>495</v>
      </c>
      <c r="B14" s="338" t="s">
        <v>496</v>
      </c>
      <c r="C14" s="339" t="s">
        <v>494</v>
      </c>
      <c r="D14" s="340">
        <v>60</v>
      </c>
      <c r="E14" s="341" t="s">
        <v>129</v>
      </c>
      <c r="F14" s="342">
        <f>0.9/8</f>
        <v>0.1125</v>
      </c>
      <c r="G14" s="343">
        <f>D14/F14</f>
        <v>533.3333333333334</v>
      </c>
    </row>
    <row r="15" spans="1:7" ht="16.5" thickBot="1">
      <c r="A15" s="344"/>
      <c r="B15" s="345"/>
      <c r="C15" s="346"/>
      <c r="D15" s="347"/>
      <c r="E15" s="348" t="s">
        <v>130</v>
      </c>
      <c r="F15" s="349">
        <f>F14*15</f>
        <v>1.6875</v>
      </c>
      <c r="G15" s="350">
        <f>D14/F15</f>
        <v>35.55555555555556</v>
      </c>
    </row>
    <row r="16" spans="1:5" ht="18" thickBot="1" thickTop="1">
      <c r="A16" s="329"/>
      <c r="B16" s="334" t="s">
        <v>497</v>
      </c>
      <c r="C16" s="331"/>
      <c r="D16" s="336"/>
      <c r="E16" s="333"/>
    </row>
    <row r="17" spans="1:7" ht="18.75" thickTop="1">
      <c r="A17" s="337" t="s">
        <v>498</v>
      </c>
      <c r="B17" s="338" t="s">
        <v>499</v>
      </c>
      <c r="C17" s="339" t="s">
        <v>494</v>
      </c>
      <c r="D17" s="340">
        <v>152</v>
      </c>
      <c r="E17" s="341" t="s">
        <v>129</v>
      </c>
      <c r="F17" s="342">
        <f>0.9/8</f>
        <v>0.1125</v>
      </c>
      <c r="G17" s="343">
        <f>D17/F17</f>
        <v>1351.111111111111</v>
      </c>
    </row>
    <row r="18" spans="1:7" ht="15.75">
      <c r="A18" s="351"/>
      <c r="B18" s="352"/>
      <c r="C18" s="353"/>
      <c r="D18" s="354"/>
      <c r="E18" s="355" t="s">
        <v>130</v>
      </c>
      <c r="F18" s="356">
        <f>F17*15</f>
        <v>1.6875</v>
      </c>
      <c r="G18" s="357">
        <f>D17/F18</f>
        <v>90.07407407407408</v>
      </c>
    </row>
    <row r="19" spans="1:7" ht="15.75">
      <c r="A19" s="351"/>
      <c r="B19" s="352"/>
      <c r="C19" s="353"/>
      <c r="D19" s="354"/>
      <c r="E19" s="355" t="s">
        <v>500</v>
      </c>
      <c r="F19" s="356">
        <f>F18</f>
        <v>1.6875</v>
      </c>
      <c r="G19" s="357">
        <f>D17/F19</f>
        <v>90.07407407407408</v>
      </c>
    </row>
    <row r="20" spans="1:7" ht="16.5" thickBot="1">
      <c r="A20" s="358"/>
      <c r="B20" s="345"/>
      <c r="C20" s="346"/>
      <c r="D20" s="347"/>
      <c r="E20" s="348" t="s">
        <v>501</v>
      </c>
      <c r="F20" s="349">
        <v>1.2</v>
      </c>
      <c r="G20" s="350">
        <f>D17*F20</f>
        <v>182.4</v>
      </c>
    </row>
    <row r="21" spans="1:7" ht="18.75" thickTop="1">
      <c r="A21" s="337" t="s">
        <v>502</v>
      </c>
      <c r="B21" s="338" t="s">
        <v>503</v>
      </c>
      <c r="C21" s="339" t="s">
        <v>494</v>
      </c>
      <c r="D21" s="340">
        <v>56</v>
      </c>
      <c r="E21" s="341" t="s">
        <v>504</v>
      </c>
      <c r="F21" s="342">
        <v>48</v>
      </c>
      <c r="G21" s="343">
        <f>D21/F21</f>
        <v>1.1666666666666667</v>
      </c>
    </row>
    <row r="22" spans="1:7" ht="16.5" thickBot="1">
      <c r="A22" s="344"/>
      <c r="B22" s="345"/>
      <c r="C22" s="346"/>
      <c r="D22" s="347"/>
      <c r="E22" s="348" t="s">
        <v>505</v>
      </c>
      <c r="F22" s="349">
        <v>12</v>
      </c>
      <c r="G22" s="350">
        <f>D21/F22</f>
        <v>4.666666666666667</v>
      </c>
    </row>
    <row r="23" spans="1:5" ht="18" thickBot="1" thickTop="1">
      <c r="A23" s="329"/>
      <c r="B23" s="334" t="s">
        <v>506</v>
      </c>
      <c r="C23" s="331"/>
      <c r="D23" s="336"/>
      <c r="E23" s="333"/>
    </row>
    <row r="24" spans="1:7" ht="18.75" thickTop="1">
      <c r="A24" s="337" t="s">
        <v>507</v>
      </c>
      <c r="B24" s="338" t="s">
        <v>508</v>
      </c>
      <c r="C24" s="339" t="s">
        <v>491</v>
      </c>
      <c r="D24" s="340">
        <v>103</v>
      </c>
      <c r="E24" s="341" t="s">
        <v>135</v>
      </c>
      <c r="F24" s="342">
        <f>6/8</f>
        <v>0.75</v>
      </c>
      <c r="G24" s="343">
        <f>D24/F24</f>
        <v>137.33333333333334</v>
      </c>
    </row>
    <row r="25" spans="1:7" ht="15.75">
      <c r="A25" s="359"/>
      <c r="B25" s="352"/>
      <c r="C25" s="353"/>
      <c r="D25" s="354"/>
      <c r="E25" s="355" t="s">
        <v>129</v>
      </c>
      <c r="F25" s="356">
        <f>F24/2</f>
        <v>0.375</v>
      </c>
      <c r="G25" s="357">
        <f>D24/F25</f>
        <v>274.6666666666667</v>
      </c>
    </row>
    <row r="26" spans="1:7" ht="16.5" thickBot="1">
      <c r="A26" s="344"/>
      <c r="B26" s="345"/>
      <c r="C26" s="346"/>
      <c r="D26" s="347"/>
      <c r="E26" s="348" t="s">
        <v>509</v>
      </c>
      <c r="F26" s="349">
        <v>0.34</v>
      </c>
      <c r="G26" s="350">
        <f>D24/F26</f>
        <v>302.94117647058823</v>
      </c>
    </row>
    <row r="27" spans="1:5" ht="16.5" thickTop="1">
      <c r="A27" s="329"/>
      <c r="B27" s="360" t="s">
        <v>510</v>
      </c>
      <c r="C27" s="361"/>
      <c r="D27" s="362"/>
      <c r="E27" s="361"/>
    </row>
    <row r="28" spans="1:5" ht="15.75">
      <c r="A28" s="329"/>
      <c r="B28" s="330"/>
      <c r="C28" s="331"/>
      <c r="D28" s="336"/>
      <c r="E28" s="333"/>
    </row>
    <row r="29" spans="1:5" ht="15.75">
      <c r="A29" s="329"/>
      <c r="B29" s="334" t="s">
        <v>511</v>
      </c>
      <c r="C29" s="331"/>
      <c r="D29" s="336"/>
      <c r="E29" s="333"/>
    </row>
    <row r="30" spans="1:5" ht="16.5" thickBot="1">
      <c r="A30" s="329"/>
      <c r="B30" s="334" t="s">
        <v>512</v>
      </c>
      <c r="C30" s="331"/>
      <c r="D30" s="336"/>
      <c r="E30" s="333"/>
    </row>
    <row r="31" spans="1:7" ht="18.75" thickTop="1">
      <c r="A31" s="337" t="s">
        <v>489</v>
      </c>
      <c r="B31" s="338" t="s">
        <v>513</v>
      </c>
      <c r="C31" s="339" t="s">
        <v>494</v>
      </c>
      <c r="D31" s="363">
        <v>3</v>
      </c>
      <c r="E31" s="341" t="s">
        <v>135</v>
      </c>
      <c r="F31" s="342">
        <f>25/8/2</f>
        <v>1.5625</v>
      </c>
      <c r="G31" s="343">
        <f>$D$31/F31</f>
        <v>1.92</v>
      </c>
    </row>
    <row r="32" spans="1:7" ht="15.75">
      <c r="A32" s="359"/>
      <c r="B32" s="352"/>
      <c r="C32" s="353"/>
      <c r="D32" s="364"/>
      <c r="E32" s="355" t="s">
        <v>129</v>
      </c>
      <c r="F32" s="356">
        <f>28*25/8</f>
        <v>87.5</v>
      </c>
      <c r="G32" s="357">
        <f aca="true" t="shared" si="0" ref="G32:G37">$D$31/F32</f>
        <v>0.03428571428571429</v>
      </c>
    </row>
    <row r="33" spans="1:7" ht="15.75">
      <c r="A33" s="359"/>
      <c r="B33" s="352"/>
      <c r="C33" s="353"/>
      <c r="D33" s="364"/>
      <c r="E33" s="355" t="s">
        <v>130</v>
      </c>
      <c r="F33" s="356">
        <f>25/8</f>
        <v>3.125</v>
      </c>
      <c r="G33" s="357">
        <f t="shared" si="0"/>
        <v>0.96</v>
      </c>
    </row>
    <row r="34" spans="1:7" ht="15.75">
      <c r="A34" s="359"/>
      <c r="B34" s="352"/>
      <c r="C34" s="353"/>
      <c r="D34" s="364"/>
      <c r="E34" s="355" t="s">
        <v>514</v>
      </c>
      <c r="F34" s="356">
        <f>F33</f>
        <v>3.125</v>
      </c>
      <c r="G34" s="357">
        <f t="shared" si="0"/>
        <v>0.96</v>
      </c>
    </row>
    <row r="35" spans="1:7" ht="15.75">
      <c r="A35" s="359"/>
      <c r="B35" s="352"/>
      <c r="C35" s="353"/>
      <c r="D35" s="364"/>
      <c r="E35" s="355" t="s">
        <v>515</v>
      </c>
      <c r="F35" s="356">
        <v>0.9</v>
      </c>
      <c r="G35" s="357">
        <f t="shared" si="0"/>
        <v>3.333333333333333</v>
      </c>
    </row>
    <row r="36" spans="1:7" ht="15.75">
      <c r="A36" s="359"/>
      <c r="B36" s="352"/>
      <c r="C36" s="353"/>
      <c r="D36" s="364"/>
      <c r="E36" s="355" t="s">
        <v>516</v>
      </c>
      <c r="F36" s="356">
        <v>0.48</v>
      </c>
      <c r="G36" s="357">
        <f t="shared" si="0"/>
        <v>6.25</v>
      </c>
    </row>
    <row r="37" spans="1:7" ht="16.5" thickBot="1">
      <c r="A37" s="344"/>
      <c r="B37" s="345"/>
      <c r="C37" s="346"/>
      <c r="D37" s="347"/>
      <c r="E37" s="348" t="s">
        <v>517</v>
      </c>
      <c r="F37" s="349">
        <v>1.5</v>
      </c>
      <c r="G37" s="350">
        <f t="shared" si="0"/>
        <v>2</v>
      </c>
    </row>
    <row r="38" spans="1:5" ht="16.5" thickTop="1">
      <c r="A38" s="335"/>
      <c r="B38" s="334" t="s">
        <v>518</v>
      </c>
      <c r="C38" s="331"/>
      <c r="D38" s="336"/>
      <c r="E38" s="333"/>
    </row>
    <row r="39" spans="1:5" ht="16.5" thickBot="1">
      <c r="A39" s="329"/>
      <c r="B39" s="334" t="s">
        <v>519</v>
      </c>
      <c r="C39" s="331"/>
      <c r="D39" s="336"/>
      <c r="E39" s="333"/>
    </row>
    <row r="40" spans="1:7" ht="18.75" thickTop="1">
      <c r="A40" s="337" t="s">
        <v>492</v>
      </c>
      <c r="B40" s="338" t="s">
        <v>520</v>
      </c>
      <c r="C40" s="339" t="s">
        <v>494</v>
      </c>
      <c r="D40" s="340">
        <v>17</v>
      </c>
      <c r="E40" s="341" t="s">
        <v>135</v>
      </c>
      <c r="F40" s="342">
        <f>25/8/2</f>
        <v>1.5625</v>
      </c>
      <c r="G40" s="343">
        <f>$D$40/F40</f>
        <v>10.88</v>
      </c>
    </row>
    <row r="41" spans="1:7" ht="15.75">
      <c r="A41" s="359"/>
      <c r="B41" s="352"/>
      <c r="C41" s="353"/>
      <c r="D41" s="354"/>
      <c r="E41" s="355" t="s">
        <v>129</v>
      </c>
      <c r="F41" s="356">
        <f>28*25/8</f>
        <v>87.5</v>
      </c>
      <c r="G41" s="357">
        <f aca="true" t="shared" si="1" ref="G41:G47">$D$40/F41</f>
        <v>0.19428571428571428</v>
      </c>
    </row>
    <row r="42" spans="1:7" ht="15.75">
      <c r="A42" s="359"/>
      <c r="B42" s="352"/>
      <c r="C42" s="353"/>
      <c r="D42" s="354"/>
      <c r="E42" s="355" t="s">
        <v>130</v>
      </c>
      <c r="F42" s="356">
        <f>25/8</f>
        <v>3.125</v>
      </c>
      <c r="G42" s="357">
        <f t="shared" si="1"/>
        <v>5.44</v>
      </c>
    </row>
    <row r="43" spans="1:7" ht="15.75">
      <c r="A43" s="359"/>
      <c r="B43" s="352"/>
      <c r="C43" s="353"/>
      <c r="D43" s="354"/>
      <c r="E43" s="355" t="s">
        <v>514</v>
      </c>
      <c r="F43" s="356">
        <f>F42</f>
        <v>3.125</v>
      </c>
      <c r="G43" s="357">
        <f t="shared" si="1"/>
        <v>5.44</v>
      </c>
    </row>
    <row r="44" spans="1:7" ht="15.75">
      <c r="A44" s="359"/>
      <c r="B44" s="352"/>
      <c r="C44" s="353"/>
      <c r="D44" s="354"/>
      <c r="E44" s="355" t="s">
        <v>140</v>
      </c>
      <c r="F44" s="356">
        <f>F43/2</f>
        <v>1.5625</v>
      </c>
      <c r="G44" s="357">
        <f t="shared" si="1"/>
        <v>10.88</v>
      </c>
    </row>
    <row r="45" spans="1:7" ht="15.75">
      <c r="A45" s="359"/>
      <c r="B45" s="352"/>
      <c r="C45" s="353"/>
      <c r="D45" s="354"/>
      <c r="E45" s="355" t="s">
        <v>515</v>
      </c>
      <c r="F45" s="356">
        <v>0.9</v>
      </c>
      <c r="G45" s="357">
        <f t="shared" si="1"/>
        <v>18.88888888888889</v>
      </c>
    </row>
    <row r="46" spans="1:7" ht="15.75">
      <c r="A46" s="359"/>
      <c r="B46" s="352"/>
      <c r="C46" s="353"/>
      <c r="D46" s="354"/>
      <c r="E46" s="355" t="s">
        <v>516</v>
      </c>
      <c r="F46" s="356">
        <v>0.48</v>
      </c>
      <c r="G46" s="357">
        <f t="shared" si="1"/>
        <v>35.41666666666667</v>
      </c>
    </row>
    <row r="47" spans="1:7" ht="16.5" thickBot="1">
      <c r="A47" s="358"/>
      <c r="B47" s="345"/>
      <c r="C47" s="346"/>
      <c r="D47" s="347"/>
      <c r="E47" s="348" t="s">
        <v>517</v>
      </c>
      <c r="F47" s="349">
        <v>1.5</v>
      </c>
      <c r="G47" s="350">
        <f t="shared" si="1"/>
        <v>11.333333333333334</v>
      </c>
    </row>
    <row r="48" spans="1:7" ht="18.75" thickTop="1">
      <c r="A48" s="337" t="s">
        <v>495</v>
      </c>
      <c r="B48" s="338" t="s">
        <v>521</v>
      </c>
      <c r="C48" s="339" t="s">
        <v>494</v>
      </c>
      <c r="D48" s="363">
        <v>1</v>
      </c>
      <c r="E48" s="341" t="s">
        <v>135</v>
      </c>
      <c r="F48" s="342">
        <f>25/8/2</f>
        <v>1.5625</v>
      </c>
      <c r="G48" s="343">
        <f>$D$48/F48</f>
        <v>0.64</v>
      </c>
    </row>
    <row r="49" spans="1:7" ht="15.75">
      <c r="A49" s="359"/>
      <c r="B49" s="352"/>
      <c r="C49" s="353"/>
      <c r="D49" s="364"/>
      <c r="E49" s="355" t="s">
        <v>129</v>
      </c>
      <c r="F49" s="356">
        <f>28*25/8</f>
        <v>87.5</v>
      </c>
      <c r="G49" s="357">
        <f aca="true" t="shared" si="2" ref="G49:G55">$D$48/F49</f>
        <v>0.011428571428571429</v>
      </c>
    </row>
    <row r="50" spans="1:7" ht="15.75">
      <c r="A50" s="359"/>
      <c r="B50" s="352"/>
      <c r="C50" s="353"/>
      <c r="D50" s="364"/>
      <c r="E50" s="355" t="s">
        <v>130</v>
      </c>
      <c r="F50" s="356">
        <f>25/8</f>
        <v>3.125</v>
      </c>
      <c r="G50" s="357">
        <f t="shared" si="2"/>
        <v>0.32</v>
      </c>
    </row>
    <row r="51" spans="1:7" ht="15.75">
      <c r="A51" s="359"/>
      <c r="B51" s="352"/>
      <c r="C51" s="353"/>
      <c r="D51" s="364"/>
      <c r="E51" s="355" t="s">
        <v>514</v>
      </c>
      <c r="F51" s="356">
        <f>F50</f>
        <v>3.125</v>
      </c>
      <c r="G51" s="357">
        <f t="shared" si="2"/>
        <v>0.32</v>
      </c>
    </row>
    <row r="52" spans="1:7" ht="15.75">
      <c r="A52" s="359"/>
      <c r="B52" s="352"/>
      <c r="C52" s="353"/>
      <c r="D52" s="364"/>
      <c r="E52" s="355" t="s">
        <v>140</v>
      </c>
      <c r="F52" s="356">
        <f>F51/2</f>
        <v>1.5625</v>
      </c>
      <c r="G52" s="357">
        <f t="shared" si="2"/>
        <v>0.64</v>
      </c>
    </row>
    <row r="53" spans="1:7" ht="15.75">
      <c r="A53" s="359"/>
      <c r="B53" s="352"/>
      <c r="C53" s="353"/>
      <c r="D53" s="364"/>
      <c r="E53" s="355" t="s">
        <v>515</v>
      </c>
      <c r="F53" s="356">
        <v>0.9</v>
      </c>
      <c r="G53" s="357">
        <f t="shared" si="2"/>
        <v>1.1111111111111112</v>
      </c>
    </row>
    <row r="54" spans="1:7" ht="15.75">
      <c r="A54" s="359"/>
      <c r="B54" s="352"/>
      <c r="C54" s="353"/>
      <c r="D54" s="364"/>
      <c r="E54" s="355" t="s">
        <v>516</v>
      </c>
      <c r="F54" s="356">
        <v>0.48</v>
      </c>
      <c r="G54" s="357">
        <f t="shared" si="2"/>
        <v>2.0833333333333335</v>
      </c>
    </row>
    <row r="55" spans="1:7" ht="16.5" thickBot="1">
      <c r="A55" s="344"/>
      <c r="B55" s="345"/>
      <c r="C55" s="346"/>
      <c r="D55" s="365"/>
      <c r="E55" s="348" t="s">
        <v>517</v>
      </c>
      <c r="F55" s="349">
        <v>1.5</v>
      </c>
      <c r="G55" s="350">
        <f t="shared" si="2"/>
        <v>0.6666666666666666</v>
      </c>
    </row>
    <row r="56" spans="1:5" ht="18" thickBot="1" thickTop="1">
      <c r="A56" s="329"/>
      <c r="B56" s="330"/>
      <c r="C56" s="331"/>
      <c r="D56" s="336"/>
      <c r="E56" s="333"/>
    </row>
    <row r="57" spans="1:7" ht="18.75" thickTop="1">
      <c r="A57" s="337" t="s">
        <v>498</v>
      </c>
      <c r="B57" s="338" t="s">
        <v>522</v>
      </c>
      <c r="C57" s="339" t="s">
        <v>494</v>
      </c>
      <c r="D57" s="340">
        <v>4</v>
      </c>
      <c r="E57" s="341" t="s">
        <v>135</v>
      </c>
      <c r="F57" s="342">
        <f>25/8/2</f>
        <v>1.5625</v>
      </c>
      <c r="G57" s="343">
        <f>$D$57/F57</f>
        <v>2.56</v>
      </c>
    </row>
    <row r="58" spans="1:7" ht="15.75">
      <c r="A58" s="359"/>
      <c r="B58" s="352"/>
      <c r="C58" s="353"/>
      <c r="D58" s="354"/>
      <c r="E58" s="355" t="s">
        <v>129</v>
      </c>
      <c r="F58" s="356">
        <f>28*25/8</f>
        <v>87.5</v>
      </c>
      <c r="G58" s="357">
        <f aca="true" t="shared" si="3" ref="G58:G64">$D$57/F58</f>
        <v>0.045714285714285714</v>
      </c>
    </row>
    <row r="59" spans="1:7" ht="15.75">
      <c r="A59" s="359"/>
      <c r="B59" s="352"/>
      <c r="C59" s="353"/>
      <c r="D59" s="354"/>
      <c r="E59" s="355" t="s">
        <v>130</v>
      </c>
      <c r="F59" s="356">
        <f>25/8</f>
        <v>3.125</v>
      </c>
      <c r="G59" s="357">
        <f t="shared" si="3"/>
        <v>1.28</v>
      </c>
    </row>
    <row r="60" spans="1:7" ht="15.75">
      <c r="A60" s="359"/>
      <c r="B60" s="352"/>
      <c r="C60" s="353"/>
      <c r="D60" s="354"/>
      <c r="E60" s="355" t="s">
        <v>514</v>
      </c>
      <c r="F60" s="356">
        <f>F59</f>
        <v>3.125</v>
      </c>
      <c r="G60" s="357">
        <f t="shared" si="3"/>
        <v>1.28</v>
      </c>
    </row>
    <row r="61" spans="1:7" ht="15.75">
      <c r="A61" s="359"/>
      <c r="B61" s="352"/>
      <c r="C61" s="353"/>
      <c r="D61" s="354"/>
      <c r="E61" s="355" t="s">
        <v>140</v>
      </c>
      <c r="F61" s="356">
        <f>F60/2</f>
        <v>1.5625</v>
      </c>
      <c r="G61" s="357">
        <f t="shared" si="3"/>
        <v>2.56</v>
      </c>
    </row>
    <row r="62" spans="1:7" ht="15.75">
      <c r="A62" s="359"/>
      <c r="B62" s="352"/>
      <c r="C62" s="353"/>
      <c r="D62" s="354"/>
      <c r="E62" s="355" t="s">
        <v>515</v>
      </c>
      <c r="F62" s="356">
        <v>0.9</v>
      </c>
      <c r="G62" s="357">
        <f t="shared" si="3"/>
        <v>4.444444444444445</v>
      </c>
    </row>
    <row r="63" spans="1:7" ht="15.75">
      <c r="A63" s="359"/>
      <c r="B63" s="352"/>
      <c r="C63" s="353"/>
      <c r="D63" s="354"/>
      <c r="E63" s="355" t="s">
        <v>516</v>
      </c>
      <c r="F63" s="356">
        <v>0.48</v>
      </c>
      <c r="G63" s="357">
        <f t="shared" si="3"/>
        <v>8.333333333333334</v>
      </c>
    </row>
    <row r="64" spans="1:7" ht="16.5" thickBot="1">
      <c r="A64" s="344"/>
      <c r="B64" s="345"/>
      <c r="C64" s="346"/>
      <c r="D64" s="347"/>
      <c r="E64" s="348" t="s">
        <v>517</v>
      </c>
      <c r="F64" s="349">
        <v>1.5</v>
      </c>
      <c r="G64" s="350">
        <f t="shared" si="3"/>
        <v>2.6666666666666665</v>
      </c>
    </row>
    <row r="65" spans="1:5" ht="18" thickBot="1" thickTop="1">
      <c r="A65" s="335"/>
      <c r="B65" s="330"/>
      <c r="C65" s="331"/>
      <c r="D65" s="336"/>
      <c r="E65" s="333"/>
    </row>
    <row r="66" spans="1:7" ht="18.75" thickTop="1">
      <c r="A66" s="337" t="s">
        <v>502</v>
      </c>
      <c r="B66" s="338" t="s">
        <v>523</v>
      </c>
      <c r="C66" s="339" t="s">
        <v>494</v>
      </c>
      <c r="D66" s="340">
        <v>11</v>
      </c>
      <c r="E66" s="341" t="s">
        <v>135</v>
      </c>
      <c r="F66" s="342">
        <f>25/8/2</f>
        <v>1.5625</v>
      </c>
      <c r="G66" s="343">
        <f>$D$66/F66</f>
        <v>7.04</v>
      </c>
    </row>
    <row r="67" spans="1:7" ht="15.75">
      <c r="A67" s="359"/>
      <c r="B67" s="352"/>
      <c r="C67" s="353"/>
      <c r="D67" s="354"/>
      <c r="E67" s="355" t="s">
        <v>129</v>
      </c>
      <c r="F67" s="356">
        <f>28*25/8</f>
        <v>87.5</v>
      </c>
      <c r="G67" s="357">
        <f aca="true" t="shared" si="4" ref="G67:G73">$D$66/F67</f>
        <v>0.12571428571428572</v>
      </c>
    </row>
    <row r="68" spans="1:7" ht="15.75">
      <c r="A68" s="359"/>
      <c r="B68" s="352"/>
      <c r="C68" s="353"/>
      <c r="D68" s="354"/>
      <c r="E68" s="355" t="s">
        <v>130</v>
      </c>
      <c r="F68" s="356">
        <f>25/8</f>
        <v>3.125</v>
      </c>
      <c r="G68" s="357">
        <f t="shared" si="4"/>
        <v>3.52</v>
      </c>
    </row>
    <row r="69" spans="1:7" ht="15.75">
      <c r="A69" s="359"/>
      <c r="B69" s="352"/>
      <c r="C69" s="353"/>
      <c r="D69" s="354"/>
      <c r="E69" s="355" t="s">
        <v>514</v>
      </c>
      <c r="F69" s="356">
        <f>F68</f>
        <v>3.125</v>
      </c>
      <c r="G69" s="357">
        <f t="shared" si="4"/>
        <v>3.52</v>
      </c>
    </row>
    <row r="70" spans="1:7" ht="15.75">
      <c r="A70" s="359"/>
      <c r="B70" s="352"/>
      <c r="C70" s="353"/>
      <c r="D70" s="354"/>
      <c r="E70" s="355" t="s">
        <v>140</v>
      </c>
      <c r="F70" s="356">
        <f>F69/2</f>
        <v>1.5625</v>
      </c>
      <c r="G70" s="357">
        <f t="shared" si="4"/>
        <v>7.04</v>
      </c>
    </row>
    <row r="71" spans="1:7" ht="15.75">
      <c r="A71" s="359"/>
      <c r="B71" s="352"/>
      <c r="C71" s="353"/>
      <c r="D71" s="354"/>
      <c r="E71" s="355" t="s">
        <v>515</v>
      </c>
      <c r="F71" s="356">
        <v>0.8</v>
      </c>
      <c r="G71" s="357">
        <f t="shared" si="4"/>
        <v>13.75</v>
      </c>
    </row>
    <row r="72" spans="1:7" ht="15.75">
      <c r="A72" s="359"/>
      <c r="B72" s="352"/>
      <c r="C72" s="353"/>
      <c r="D72" s="354"/>
      <c r="E72" s="355" t="s">
        <v>516</v>
      </c>
      <c r="F72" s="356">
        <v>0.48</v>
      </c>
      <c r="G72" s="357">
        <f t="shared" si="4"/>
        <v>22.916666666666668</v>
      </c>
    </row>
    <row r="73" spans="1:7" ht="16.5" thickBot="1">
      <c r="A73" s="344"/>
      <c r="B73" s="345"/>
      <c r="C73" s="346"/>
      <c r="D73" s="347"/>
      <c r="E73" s="348" t="s">
        <v>517</v>
      </c>
      <c r="F73" s="349">
        <v>2.8</v>
      </c>
      <c r="G73" s="350">
        <f t="shared" si="4"/>
        <v>3.928571428571429</v>
      </c>
    </row>
    <row r="74" spans="1:5" ht="16.5" thickTop="1">
      <c r="A74" s="329"/>
      <c r="B74" s="330"/>
      <c r="C74" s="331"/>
      <c r="D74" s="336"/>
      <c r="E74" s="333"/>
    </row>
    <row r="75" spans="1:5" ht="16.5" thickBot="1">
      <c r="A75" s="329"/>
      <c r="B75" s="334" t="s">
        <v>524</v>
      </c>
      <c r="C75" s="331"/>
      <c r="D75" s="336"/>
      <c r="E75" s="333"/>
    </row>
    <row r="76" spans="1:7" ht="18.75" thickTop="1">
      <c r="A76" s="337" t="s">
        <v>507</v>
      </c>
      <c r="B76" s="338" t="s">
        <v>525</v>
      </c>
      <c r="C76" s="339" t="s">
        <v>494</v>
      </c>
      <c r="D76" s="363">
        <v>2</v>
      </c>
      <c r="E76" s="341" t="s">
        <v>135</v>
      </c>
      <c r="F76" s="342">
        <f>25/8/2</f>
        <v>1.5625</v>
      </c>
      <c r="G76" s="343">
        <f>$D$76/F76</f>
        <v>1.28</v>
      </c>
    </row>
    <row r="77" spans="1:7" ht="15.75">
      <c r="A77" s="359"/>
      <c r="B77" s="352"/>
      <c r="C77" s="353"/>
      <c r="D77" s="364"/>
      <c r="E77" s="355" t="s">
        <v>129</v>
      </c>
      <c r="F77" s="356">
        <f>28*25/8</f>
        <v>87.5</v>
      </c>
      <c r="G77" s="357">
        <f aca="true" t="shared" si="5" ref="G77:G83">$D$76/F77</f>
        <v>0.022857142857142857</v>
      </c>
    </row>
    <row r="78" spans="1:7" ht="15.75">
      <c r="A78" s="359"/>
      <c r="B78" s="352"/>
      <c r="C78" s="353"/>
      <c r="D78" s="364"/>
      <c r="E78" s="355" t="s">
        <v>130</v>
      </c>
      <c r="F78" s="356">
        <f>25/8</f>
        <v>3.125</v>
      </c>
      <c r="G78" s="357">
        <f t="shared" si="5"/>
        <v>0.64</v>
      </c>
    </row>
    <row r="79" spans="1:7" ht="15.75">
      <c r="A79" s="359"/>
      <c r="B79" s="352"/>
      <c r="C79" s="353"/>
      <c r="D79" s="364"/>
      <c r="E79" s="355" t="s">
        <v>514</v>
      </c>
      <c r="F79" s="356">
        <f>F78</f>
        <v>3.125</v>
      </c>
      <c r="G79" s="357">
        <f t="shared" si="5"/>
        <v>0.64</v>
      </c>
    </row>
    <row r="80" spans="1:7" ht="15.75">
      <c r="A80" s="359"/>
      <c r="B80" s="352"/>
      <c r="C80" s="353"/>
      <c r="D80" s="364"/>
      <c r="E80" s="355" t="s">
        <v>140</v>
      </c>
      <c r="F80" s="356">
        <f>F79/2</f>
        <v>1.5625</v>
      </c>
      <c r="G80" s="357">
        <f t="shared" si="5"/>
        <v>1.28</v>
      </c>
    </row>
    <row r="81" spans="1:7" ht="15.75">
      <c r="A81" s="359"/>
      <c r="B81" s="352"/>
      <c r="C81" s="353"/>
      <c r="D81" s="364"/>
      <c r="E81" s="355" t="s">
        <v>515</v>
      </c>
      <c r="F81" s="356">
        <v>0.9</v>
      </c>
      <c r="G81" s="357">
        <f t="shared" si="5"/>
        <v>2.2222222222222223</v>
      </c>
    </row>
    <row r="82" spans="1:7" ht="15.75">
      <c r="A82" s="359"/>
      <c r="B82" s="352"/>
      <c r="C82" s="353"/>
      <c r="D82" s="364"/>
      <c r="E82" s="355" t="s">
        <v>516</v>
      </c>
      <c r="F82" s="356">
        <v>0.48</v>
      </c>
      <c r="G82" s="357">
        <f t="shared" si="5"/>
        <v>4.166666666666667</v>
      </c>
    </row>
    <row r="83" spans="1:7" ht="16.5" thickBot="1">
      <c r="A83" s="344"/>
      <c r="B83" s="345"/>
      <c r="C83" s="346"/>
      <c r="D83" s="365"/>
      <c r="E83" s="348" t="s">
        <v>517</v>
      </c>
      <c r="F83" s="349">
        <v>1.5</v>
      </c>
      <c r="G83" s="350">
        <f t="shared" si="5"/>
        <v>1.3333333333333333</v>
      </c>
    </row>
    <row r="84" spans="1:5" ht="18" thickBot="1" thickTop="1">
      <c r="A84" s="335"/>
      <c r="B84" s="330"/>
      <c r="C84" s="331"/>
      <c r="D84" s="336"/>
      <c r="E84" s="333"/>
    </row>
    <row r="85" spans="1:7" ht="18.75" thickTop="1">
      <c r="A85" s="337" t="s">
        <v>526</v>
      </c>
      <c r="B85" s="338" t="s">
        <v>527</v>
      </c>
      <c r="C85" s="339" t="s">
        <v>494</v>
      </c>
      <c r="D85" s="340">
        <v>6</v>
      </c>
      <c r="E85" s="341" t="s">
        <v>135</v>
      </c>
      <c r="F85" s="342">
        <f>25/8/2</f>
        <v>1.5625</v>
      </c>
      <c r="G85" s="343">
        <f>$D$85/F85</f>
        <v>3.84</v>
      </c>
    </row>
    <row r="86" spans="1:7" ht="15.75">
      <c r="A86" s="359"/>
      <c r="B86" s="352"/>
      <c r="C86" s="353"/>
      <c r="D86" s="354"/>
      <c r="E86" s="355" t="s">
        <v>129</v>
      </c>
      <c r="F86" s="356">
        <f>28*25/8</f>
        <v>87.5</v>
      </c>
      <c r="G86" s="357">
        <f aca="true" t="shared" si="6" ref="G86:G92">$D$85/F86</f>
        <v>0.06857142857142857</v>
      </c>
    </row>
    <row r="87" spans="1:7" ht="15.75">
      <c r="A87" s="359"/>
      <c r="B87" s="352"/>
      <c r="C87" s="353"/>
      <c r="D87" s="354"/>
      <c r="E87" s="355" t="s">
        <v>130</v>
      </c>
      <c r="F87" s="356">
        <f>25/8</f>
        <v>3.125</v>
      </c>
      <c r="G87" s="357">
        <f t="shared" si="6"/>
        <v>1.92</v>
      </c>
    </row>
    <row r="88" spans="1:7" ht="15.75">
      <c r="A88" s="359"/>
      <c r="B88" s="352"/>
      <c r="C88" s="353"/>
      <c r="D88" s="354"/>
      <c r="E88" s="355" t="s">
        <v>514</v>
      </c>
      <c r="F88" s="356">
        <f>F87</f>
        <v>3.125</v>
      </c>
      <c r="G88" s="357">
        <f t="shared" si="6"/>
        <v>1.92</v>
      </c>
    </row>
    <row r="89" spans="1:7" ht="15.75">
      <c r="A89" s="359"/>
      <c r="B89" s="352"/>
      <c r="C89" s="353"/>
      <c r="D89" s="354"/>
      <c r="E89" s="355" t="s">
        <v>140</v>
      </c>
      <c r="F89" s="356">
        <f>F88/2</f>
        <v>1.5625</v>
      </c>
      <c r="G89" s="357">
        <f t="shared" si="6"/>
        <v>3.84</v>
      </c>
    </row>
    <row r="90" spans="1:7" ht="15.75">
      <c r="A90" s="359"/>
      <c r="B90" s="352"/>
      <c r="C90" s="353"/>
      <c r="D90" s="354"/>
      <c r="E90" s="355" t="s">
        <v>515</v>
      </c>
      <c r="F90" s="356">
        <v>0.9</v>
      </c>
      <c r="G90" s="357">
        <f t="shared" si="6"/>
        <v>6.666666666666666</v>
      </c>
    </row>
    <row r="91" spans="1:7" ht="15.75">
      <c r="A91" s="359"/>
      <c r="B91" s="352"/>
      <c r="C91" s="353"/>
      <c r="D91" s="354"/>
      <c r="E91" s="355" t="s">
        <v>516</v>
      </c>
      <c r="F91" s="356">
        <v>0.48</v>
      </c>
      <c r="G91" s="357">
        <f t="shared" si="6"/>
        <v>12.5</v>
      </c>
    </row>
    <row r="92" spans="1:7" ht="16.5" thickBot="1">
      <c r="A92" s="344"/>
      <c r="B92" s="345"/>
      <c r="C92" s="346"/>
      <c r="D92" s="347"/>
      <c r="E92" s="348" t="s">
        <v>517</v>
      </c>
      <c r="F92" s="349">
        <v>1.5</v>
      </c>
      <c r="G92" s="350">
        <f t="shared" si="6"/>
        <v>4</v>
      </c>
    </row>
    <row r="93" spans="1:5" ht="18" thickBot="1" thickTop="1">
      <c r="A93" s="335"/>
      <c r="B93" s="330"/>
      <c r="C93" s="331"/>
      <c r="D93" s="336"/>
      <c r="E93" s="333"/>
    </row>
    <row r="94" spans="1:7" ht="18.75" thickTop="1">
      <c r="A94" s="337" t="s">
        <v>528</v>
      </c>
      <c r="B94" s="338" t="s">
        <v>529</v>
      </c>
      <c r="C94" s="339" t="s">
        <v>494</v>
      </c>
      <c r="D94" s="340">
        <v>18</v>
      </c>
      <c r="E94" s="341" t="s">
        <v>135</v>
      </c>
      <c r="F94" s="342">
        <f>25/8/2</f>
        <v>1.5625</v>
      </c>
      <c r="G94" s="343">
        <f>$D$94/F94</f>
        <v>11.52</v>
      </c>
    </row>
    <row r="95" spans="1:7" ht="15.75">
      <c r="A95" s="359"/>
      <c r="B95" s="352"/>
      <c r="C95" s="353"/>
      <c r="D95" s="354"/>
      <c r="E95" s="355" t="s">
        <v>129</v>
      </c>
      <c r="F95" s="356">
        <f>28*25/8</f>
        <v>87.5</v>
      </c>
      <c r="G95" s="357">
        <f aca="true" t="shared" si="7" ref="G95:G101">$D$94/F95</f>
        <v>0.2057142857142857</v>
      </c>
    </row>
    <row r="96" spans="1:7" ht="15.75">
      <c r="A96" s="359"/>
      <c r="B96" s="352"/>
      <c r="C96" s="353"/>
      <c r="D96" s="354"/>
      <c r="E96" s="355" t="s">
        <v>130</v>
      </c>
      <c r="F96" s="356">
        <f>25/8</f>
        <v>3.125</v>
      </c>
      <c r="G96" s="357">
        <f t="shared" si="7"/>
        <v>5.76</v>
      </c>
    </row>
    <row r="97" spans="1:7" ht="15.75">
      <c r="A97" s="359"/>
      <c r="B97" s="352"/>
      <c r="C97" s="353"/>
      <c r="D97" s="354"/>
      <c r="E97" s="355" t="s">
        <v>514</v>
      </c>
      <c r="F97" s="356">
        <f>F96</f>
        <v>3.125</v>
      </c>
      <c r="G97" s="357">
        <f t="shared" si="7"/>
        <v>5.76</v>
      </c>
    </row>
    <row r="98" spans="1:7" ht="15.75">
      <c r="A98" s="359"/>
      <c r="B98" s="352"/>
      <c r="C98" s="353"/>
      <c r="D98" s="354"/>
      <c r="E98" s="355" t="s">
        <v>140</v>
      </c>
      <c r="F98" s="356">
        <f>F97/2</f>
        <v>1.5625</v>
      </c>
      <c r="G98" s="357">
        <f t="shared" si="7"/>
        <v>11.52</v>
      </c>
    </row>
    <row r="99" spans="1:7" ht="15.75">
      <c r="A99" s="359"/>
      <c r="B99" s="352"/>
      <c r="C99" s="353"/>
      <c r="D99" s="354"/>
      <c r="E99" s="355" t="s">
        <v>515</v>
      </c>
      <c r="F99" s="356">
        <v>0.9</v>
      </c>
      <c r="G99" s="357">
        <f t="shared" si="7"/>
        <v>20</v>
      </c>
    </row>
    <row r="100" spans="1:7" ht="15.75">
      <c r="A100" s="359"/>
      <c r="B100" s="352"/>
      <c r="C100" s="353"/>
      <c r="D100" s="354"/>
      <c r="E100" s="355" t="s">
        <v>516</v>
      </c>
      <c r="F100" s="356">
        <v>0.48</v>
      </c>
      <c r="G100" s="357">
        <f t="shared" si="7"/>
        <v>37.5</v>
      </c>
    </row>
    <row r="101" spans="1:7" ht="16.5" thickBot="1">
      <c r="A101" s="344"/>
      <c r="B101" s="345"/>
      <c r="C101" s="346"/>
      <c r="D101" s="347"/>
      <c r="E101" s="348" t="s">
        <v>517</v>
      </c>
      <c r="F101" s="349">
        <v>1.5</v>
      </c>
      <c r="G101" s="350">
        <f t="shared" si="7"/>
        <v>12</v>
      </c>
    </row>
    <row r="102" spans="1:5" ht="18" thickBot="1" thickTop="1">
      <c r="A102" s="335"/>
      <c r="B102" s="330"/>
      <c r="C102" s="331"/>
      <c r="D102" s="336"/>
      <c r="E102" s="333"/>
    </row>
    <row r="103" spans="1:7" ht="18.75" thickTop="1">
      <c r="A103" s="337" t="s">
        <v>530</v>
      </c>
      <c r="B103" s="338" t="s">
        <v>531</v>
      </c>
      <c r="C103" s="339" t="s">
        <v>494</v>
      </c>
      <c r="D103" s="340">
        <v>3</v>
      </c>
      <c r="E103" s="341" t="s">
        <v>135</v>
      </c>
      <c r="F103" s="342">
        <f>25/8/2</f>
        <v>1.5625</v>
      </c>
      <c r="G103" s="343">
        <f>$D$103/F103</f>
        <v>1.92</v>
      </c>
    </row>
    <row r="104" spans="1:7" ht="15.75">
      <c r="A104" s="359"/>
      <c r="B104" s="352"/>
      <c r="C104" s="353"/>
      <c r="D104" s="354"/>
      <c r="E104" s="355" t="s">
        <v>129</v>
      </c>
      <c r="F104" s="356">
        <f>28*25/8</f>
        <v>87.5</v>
      </c>
      <c r="G104" s="357">
        <f aca="true" t="shared" si="8" ref="G104:G110">$D$103/F104</f>
        <v>0.03428571428571429</v>
      </c>
    </row>
    <row r="105" spans="1:7" ht="15.75">
      <c r="A105" s="359"/>
      <c r="B105" s="352"/>
      <c r="C105" s="353"/>
      <c r="D105" s="354"/>
      <c r="E105" s="355" t="s">
        <v>130</v>
      </c>
      <c r="F105" s="356">
        <f>25/8</f>
        <v>3.125</v>
      </c>
      <c r="G105" s="357">
        <f t="shared" si="8"/>
        <v>0.96</v>
      </c>
    </row>
    <row r="106" spans="1:7" ht="15.75">
      <c r="A106" s="359"/>
      <c r="B106" s="352"/>
      <c r="C106" s="353"/>
      <c r="D106" s="354"/>
      <c r="E106" s="355" t="s">
        <v>514</v>
      </c>
      <c r="F106" s="356">
        <f>F105</f>
        <v>3.125</v>
      </c>
      <c r="G106" s="357">
        <f t="shared" si="8"/>
        <v>0.96</v>
      </c>
    </row>
    <row r="107" spans="1:7" ht="15.75">
      <c r="A107" s="359"/>
      <c r="B107" s="352"/>
      <c r="C107" s="353"/>
      <c r="D107" s="354"/>
      <c r="E107" s="355" t="s">
        <v>140</v>
      </c>
      <c r="F107" s="356">
        <f>F106/2</f>
        <v>1.5625</v>
      </c>
      <c r="G107" s="357">
        <f t="shared" si="8"/>
        <v>1.92</v>
      </c>
    </row>
    <row r="108" spans="1:7" ht="15.75">
      <c r="A108" s="359"/>
      <c r="B108" s="352"/>
      <c r="C108" s="353"/>
      <c r="D108" s="354"/>
      <c r="E108" s="355" t="s">
        <v>515</v>
      </c>
      <c r="F108" s="356">
        <v>0.9</v>
      </c>
      <c r="G108" s="357">
        <f t="shared" si="8"/>
        <v>3.333333333333333</v>
      </c>
    </row>
    <row r="109" spans="1:7" ht="15.75">
      <c r="A109" s="359"/>
      <c r="B109" s="352"/>
      <c r="C109" s="353"/>
      <c r="D109" s="354"/>
      <c r="E109" s="355" t="s">
        <v>516</v>
      </c>
      <c r="F109" s="356">
        <v>0.48</v>
      </c>
      <c r="G109" s="357">
        <f t="shared" si="8"/>
        <v>6.25</v>
      </c>
    </row>
    <row r="110" spans="1:7" ht="16.5" thickBot="1">
      <c r="A110" s="344"/>
      <c r="B110" s="345"/>
      <c r="C110" s="346"/>
      <c r="D110" s="347"/>
      <c r="E110" s="348" t="s">
        <v>517</v>
      </c>
      <c r="F110" s="349">
        <v>1.5</v>
      </c>
      <c r="G110" s="350">
        <f t="shared" si="8"/>
        <v>2</v>
      </c>
    </row>
    <row r="111" spans="1:5" ht="18" thickBot="1" thickTop="1">
      <c r="A111" s="335"/>
      <c r="B111" s="330"/>
      <c r="C111" s="331"/>
      <c r="D111" s="336"/>
      <c r="E111" s="333"/>
    </row>
    <row r="112" spans="1:7" ht="16.5" thickTop="1">
      <c r="A112" s="337">
        <v>10</v>
      </c>
      <c r="B112" s="338" t="s">
        <v>532</v>
      </c>
      <c r="C112" s="366"/>
      <c r="D112" s="367"/>
      <c r="E112" s="368"/>
      <c r="F112" s="342"/>
      <c r="G112" s="343"/>
    </row>
    <row r="113" spans="1:7" ht="15.75">
      <c r="A113" s="351"/>
      <c r="B113" s="369" t="s">
        <v>533</v>
      </c>
      <c r="C113" s="370"/>
      <c r="D113" s="371"/>
      <c r="E113" s="372"/>
      <c r="F113" s="356"/>
      <c r="G113" s="357"/>
    </row>
    <row r="114" spans="1:7" ht="15.75">
      <c r="A114" s="351"/>
      <c r="B114" s="369" t="s">
        <v>534</v>
      </c>
      <c r="C114" s="370"/>
      <c r="D114" s="371"/>
      <c r="E114" s="372"/>
      <c r="F114" s="356"/>
      <c r="G114" s="357"/>
    </row>
    <row r="115" spans="1:7" ht="18">
      <c r="A115" s="351"/>
      <c r="B115" s="369" t="s">
        <v>535</v>
      </c>
      <c r="C115" s="353" t="s">
        <v>491</v>
      </c>
      <c r="D115" s="354">
        <v>146</v>
      </c>
      <c r="E115" s="355" t="s">
        <v>135</v>
      </c>
      <c r="F115" s="356">
        <f>25/8/2</f>
        <v>1.5625</v>
      </c>
      <c r="G115" s="357">
        <f>$D$115/F115</f>
        <v>93.44</v>
      </c>
    </row>
    <row r="116" spans="1:7" ht="15.75">
      <c r="A116" s="351"/>
      <c r="B116" s="369"/>
      <c r="C116" s="353"/>
      <c r="D116" s="354"/>
      <c r="E116" s="355" t="s">
        <v>129</v>
      </c>
      <c r="F116" s="356">
        <f>28*25/8</f>
        <v>87.5</v>
      </c>
      <c r="G116" s="357">
        <f aca="true" t="shared" si="9" ref="G116:G122">$D$115/F116</f>
        <v>1.6685714285714286</v>
      </c>
    </row>
    <row r="117" spans="1:7" ht="15.75">
      <c r="A117" s="351"/>
      <c r="B117" s="369"/>
      <c r="C117" s="353"/>
      <c r="D117" s="354"/>
      <c r="E117" s="355" t="s">
        <v>130</v>
      </c>
      <c r="F117" s="356">
        <f>25/8</f>
        <v>3.125</v>
      </c>
      <c r="G117" s="357">
        <f t="shared" si="9"/>
        <v>46.72</v>
      </c>
    </row>
    <row r="118" spans="1:7" ht="15.75">
      <c r="A118" s="351"/>
      <c r="B118" s="369"/>
      <c r="C118" s="353"/>
      <c r="D118" s="354"/>
      <c r="E118" s="355" t="s">
        <v>514</v>
      </c>
      <c r="F118" s="356">
        <f>F117</f>
        <v>3.125</v>
      </c>
      <c r="G118" s="357">
        <f t="shared" si="9"/>
        <v>46.72</v>
      </c>
    </row>
    <row r="119" spans="1:7" ht="15.75">
      <c r="A119" s="351"/>
      <c r="B119" s="369"/>
      <c r="C119" s="353"/>
      <c r="D119" s="354"/>
      <c r="E119" s="355" t="s">
        <v>140</v>
      </c>
      <c r="F119" s="356">
        <f>F118/2</f>
        <v>1.5625</v>
      </c>
      <c r="G119" s="357">
        <f t="shared" si="9"/>
        <v>93.44</v>
      </c>
    </row>
    <row r="120" spans="1:7" ht="15.75">
      <c r="A120" s="351"/>
      <c r="B120" s="369"/>
      <c r="C120" s="353"/>
      <c r="D120" s="354"/>
      <c r="E120" s="355" t="s">
        <v>515</v>
      </c>
      <c r="F120" s="356">
        <v>0.9</v>
      </c>
      <c r="G120" s="357">
        <f t="shared" si="9"/>
        <v>162.22222222222223</v>
      </c>
    </row>
    <row r="121" spans="1:7" ht="15.75">
      <c r="A121" s="351"/>
      <c r="B121" s="369"/>
      <c r="C121" s="353"/>
      <c r="D121" s="354"/>
      <c r="E121" s="355" t="s">
        <v>516</v>
      </c>
      <c r="F121" s="356">
        <v>0.48</v>
      </c>
      <c r="G121" s="357">
        <f t="shared" si="9"/>
        <v>304.1666666666667</v>
      </c>
    </row>
    <row r="122" spans="1:7" ht="16.5" thickBot="1">
      <c r="A122" s="358"/>
      <c r="B122" s="373"/>
      <c r="C122" s="346"/>
      <c r="D122" s="347"/>
      <c r="E122" s="348" t="s">
        <v>517</v>
      </c>
      <c r="F122" s="349">
        <v>1.5</v>
      </c>
      <c r="G122" s="350">
        <f t="shared" si="9"/>
        <v>97.33333333333333</v>
      </c>
    </row>
    <row r="123" spans="1:5" ht="16.5" thickTop="1">
      <c r="A123" s="335"/>
      <c r="B123" s="330"/>
      <c r="C123" s="331"/>
      <c r="D123" s="336"/>
      <c r="E123" s="333"/>
    </row>
    <row r="124" spans="1:5" ht="15.75">
      <c r="A124" s="329"/>
      <c r="B124" s="334" t="s">
        <v>536</v>
      </c>
      <c r="C124" s="331"/>
      <c r="D124" s="336"/>
      <c r="E124" s="333"/>
    </row>
    <row r="125" spans="1:5" ht="15.75">
      <c r="A125" s="329"/>
      <c r="B125" s="334" t="s">
        <v>537</v>
      </c>
      <c r="C125" s="331"/>
      <c r="D125" s="336"/>
      <c r="E125" s="333"/>
    </row>
    <row r="126" spans="1:5" ht="18">
      <c r="A126" s="335">
        <v>11</v>
      </c>
      <c r="B126" s="330" t="s">
        <v>538</v>
      </c>
      <c r="C126" s="331" t="s">
        <v>491</v>
      </c>
      <c r="D126" s="336">
        <v>33</v>
      </c>
      <c r="E126" s="333"/>
    </row>
    <row r="127" spans="1:5" ht="15.75">
      <c r="A127" s="329"/>
      <c r="B127" s="330"/>
      <c r="C127" s="331"/>
      <c r="D127" s="336"/>
      <c r="E127" s="333"/>
    </row>
    <row r="128" spans="1:5" ht="18">
      <c r="A128" s="335">
        <v>12</v>
      </c>
      <c r="B128" s="330" t="s">
        <v>539</v>
      </c>
      <c r="C128" s="331" t="s">
        <v>491</v>
      </c>
      <c r="D128" s="336">
        <v>19</v>
      </c>
      <c r="E128" s="333"/>
    </row>
    <row r="129" spans="1:5" ht="15.75">
      <c r="A129" s="329"/>
      <c r="B129" s="330"/>
      <c r="C129" s="331"/>
      <c r="D129" s="336"/>
      <c r="E129" s="333"/>
    </row>
    <row r="130" spans="1:5" ht="18">
      <c r="A130" s="329">
        <v>13</v>
      </c>
      <c r="B130" s="330" t="s">
        <v>540</v>
      </c>
      <c r="C130" s="331" t="s">
        <v>491</v>
      </c>
      <c r="D130" s="336">
        <v>38</v>
      </c>
      <c r="E130" s="333"/>
    </row>
    <row r="131" spans="1:5" ht="15.75">
      <c r="A131" s="329"/>
      <c r="B131" s="330"/>
      <c r="C131" s="331"/>
      <c r="D131" s="336"/>
      <c r="E131" s="333"/>
    </row>
    <row r="132" spans="1:5" ht="15.75">
      <c r="A132" s="329"/>
      <c r="B132" s="334" t="s">
        <v>541</v>
      </c>
      <c r="C132" s="331"/>
      <c r="D132" s="336"/>
      <c r="E132" s="333"/>
    </row>
    <row r="133" spans="1:5" ht="18">
      <c r="A133" s="329">
        <v>14</v>
      </c>
      <c r="B133" s="330" t="s">
        <v>542</v>
      </c>
      <c r="C133" s="331" t="s">
        <v>491</v>
      </c>
      <c r="D133" s="336">
        <v>35</v>
      </c>
      <c r="E133" s="333"/>
    </row>
    <row r="134" spans="1:5" ht="15.75">
      <c r="A134" s="329"/>
      <c r="B134" s="330"/>
      <c r="C134" s="331"/>
      <c r="D134" s="336"/>
      <c r="E134" s="333"/>
    </row>
    <row r="135" spans="1:5" ht="18">
      <c r="A135" s="329">
        <v>15</v>
      </c>
      <c r="B135" s="330" t="s">
        <v>543</v>
      </c>
      <c r="C135" s="331" t="s">
        <v>491</v>
      </c>
      <c r="D135" s="336">
        <v>71</v>
      </c>
      <c r="E135" s="333"/>
    </row>
    <row r="136" spans="1:5" ht="15.75">
      <c r="A136" s="329"/>
      <c r="B136" s="330"/>
      <c r="C136" s="331"/>
      <c r="D136" s="336"/>
      <c r="E136" s="333"/>
    </row>
    <row r="137" spans="1:5" ht="18">
      <c r="A137" s="329">
        <v>16</v>
      </c>
      <c r="B137" s="330" t="s">
        <v>544</v>
      </c>
      <c r="C137" s="331" t="s">
        <v>491</v>
      </c>
      <c r="D137" s="336">
        <v>134</v>
      </c>
      <c r="E137" s="333"/>
    </row>
    <row r="138" spans="1:5" ht="15.75">
      <c r="A138" s="329"/>
      <c r="B138" s="330"/>
      <c r="C138" s="331"/>
      <c r="D138" s="336"/>
      <c r="E138" s="333"/>
    </row>
    <row r="139" spans="1:5" ht="18">
      <c r="A139" s="329">
        <v>17</v>
      </c>
      <c r="B139" s="330" t="s">
        <v>545</v>
      </c>
      <c r="C139" s="331" t="s">
        <v>491</v>
      </c>
      <c r="D139" s="336">
        <v>37</v>
      </c>
      <c r="E139" s="333"/>
    </row>
    <row r="140" spans="1:5" ht="15.75">
      <c r="A140" s="329"/>
      <c r="B140" s="330"/>
      <c r="C140" s="331"/>
      <c r="D140" s="336"/>
      <c r="E140" s="333"/>
    </row>
    <row r="141" spans="1:5" ht="15.75">
      <c r="A141" s="335"/>
      <c r="B141" s="334" t="s">
        <v>546</v>
      </c>
      <c r="C141" s="331"/>
      <c r="D141" s="336"/>
      <c r="E141" s="333"/>
    </row>
    <row r="142" spans="1:5" ht="15.75">
      <c r="A142" s="335"/>
      <c r="B142" s="334" t="s">
        <v>547</v>
      </c>
      <c r="C142" s="331"/>
      <c r="D142" s="336"/>
      <c r="E142" s="333"/>
    </row>
    <row r="143" spans="1:5" ht="15.75">
      <c r="A143" s="335">
        <v>18</v>
      </c>
      <c r="B143" s="330" t="s">
        <v>548</v>
      </c>
      <c r="C143" s="331" t="s">
        <v>47</v>
      </c>
      <c r="D143" s="336">
        <v>570</v>
      </c>
      <c r="E143" s="333"/>
    </row>
    <row r="144" spans="1:5" ht="15.75">
      <c r="A144" s="335"/>
      <c r="B144" s="330"/>
      <c r="C144" s="331"/>
      <c r="D144" s="336"/>
      <c r="E144" s="333"/>
    </row>
    <row r="145" spans="1:5" ht="15.75">
      <c r="A145" s="335">
        <v>19</v>
      </c>
      <c r="B145" s="330" t="s">
        <v>549</v>
      </c>
      <c r="C145" s="331" t="s">
        <v>47</v>
      </c>
      <c r="D145" s="336">
        <v>1559</v>
      </c>
      <c r="E145" s="333"/>
    </row>
    <row r="146" spans="1:5" ht="15.75">
      <c r="A146" s="335"/>
      <c r="B146" s="330"/>
      <c r="C146" s="331"/>
      <c r="D146" s="336"/>
      <c r="E146" s="333"/>
    </row>
    <row r="147" spans="1:5" ht="15.75">
      <c r="A147" s="335"/>
      <c r="B147" s="334" t="s">
        <v>550</v>
      </c>
      <c r="C147" s="331"/>
      <c r="D147" s="336"/>
      <c r="E147" s="333"/>
    </row>
    <row r="148" spans="1:5" ht="15.75">
      <c r="A148" s="335">
        <v>20</v>
      </c>
      <c r="B148" s="330" t="s">
        <v>548</v>
      </c>
      <c r="C148" s="331" t="s">
        <v>47</v>
      </c>
      <c r="D148" s="336">
        <v>1020</v>
      </c>
      <c r="E148" s="333"/>
    </row>
    <row r="149" spans="1:5" ht="15.75">
      <c r="A149" s="335"/>
      <c r="B149" s="330"/>
      <c r="C149" s="331"/>
      <c r="D149" s="336"/>
      <c r="E149" s="333"/>
    </row>
    <row r="150" spans="1:5" ht="15.75">
      <c r="A150" s="335">
        <v>21</v>
      </c>
      <c r="B150" s="330" t="s">
        <v>551</v>
      </c>
      <c r="C150" s="331" t="s">
        <v>47</v>
      </c>
      <c r="D150" s="336">
        <v>1139</v>
      </c>
      <c r="E150" s="333"/>
    </row>
    <row r="151" spans="1:5" ht="15.75">
      <c r="A151" s="335"/>
      <c r="B151" s="330"/>
      <c r="C151" s="331"/>
      <c r="D151" s="336"/>
      <c r="E151" s="333"/>
    </row>
    <row r="152" spans="1:5" ht="15.75">
      <c r="A152" s="335"/>
      <c r="B152" s="334" t="s">
        <v>552</v>
      </c>
      <c r="C152" s="331"/>
      <c r="D152" s="336"/>
      <c r="E152" s="333"/>
    </row>
    <row r="153" spans="1:5" ht="15.75">
      <c r="A153" s="335"/>
      <c r="B153" s="334" t="s">
        <v>553</v>
      </c>
      <c r="C153" s="331"/>
      <c r="D153" s="336"/>
      <c r="E153" s="333"/>
    </row>
    <row r="154" spans="1:5" ht="15.75">
      <c r="A154" s="335">
        <v>22</v>
      </c>
      <c r="B154" s="330" t="s">
        <v>554</v>
      </c>
      <c r="C154" s="331" t="s">
        <v>64</v>
      </c>
      <c r="D154" s="336">
        <v>82</v>
      </c>
      <c r="E154" s="333"/>
    </row>
    <row r="155" spans="1:5" ht="15.75">
      <c r="A155" s="335"/>
      <c r="B155" s="330"/>
      <c r="C155" s="331"/>
      <c r="D155" s="336"/>
      <c r="E155" s="333"/>
    </row>
    <row r="156" spans="1:5" ht="15.75">
      <c r="A156" s="329"/>
      <c r="B156" s="374" t="s">
        <v>555</v>
      </c>
      <c r="C156" s="375" t="s">
        <v>556</v>
      </c>
      <c r="D156" s="336"/>
      <c r="E156" s="333"/>
    </row>
    <row r="157" spans="1:5" ht="15.75">
      <c r="A157" s="329"/>
      <c r="B157" s="330"/>
      <c r="C157" s="331"/>
      <c r="D157" s="336"/>
      <c r="E157" s="333"/>
    </row>
    <row r="158" spans="1:5" ht="15.75">
      <c r="A158" s="329"/>
      <c r="B158" s="334" t="s">
        <v>557</v>
      </c>
      <c r="C158" s="331"/>
      <c r="D158" s="336"/>
      <c r="E158" s="333"/>
    </row>
    <row r="159" spans="1:5" ht="15.75">
      <c r="A159" s="329"/>
      <c r="B159" s="374"/>
      <c r="C159" s="331"/>
      <c r="D159" s="336"/>
      <c r="E159" s="333"/>
    </row>
    <row r="160" spans="1:5" ht="15.75">
      <c r="A160" s="335"/>
      <c r="B160" s="334" t="s">
        <v>558</v>
      </c>
      <c r="C160" s="331"/>
      <c r="D160" s="336"/>
      <c r="E160" s="333"/>
    </row>
    <row r="161" spans="1:5" ht="15.75">
      <c r="A161" s="335"/>
      <c r="B161" s="334" t="s">
        <v>559</v>
      </c>
      <c r="C161" s="331"/>
      <c r="D161" s="336"/>
      <c r="E161" s="333"/>
    </row>
    <row r="162" spans="1:5" ht="15.75">
      <c r="A162" s="335"/>
      <c r="B162" s="334"/>
      <c r="C162" s="331"/>
      <c r="D162" s="336"/>
      <c r="E162" s="333"/>
    </row>
    <row r="163" spans="1:5" ht="18">
      <c r="A163" s="335" t="s">
        <v>489</v>
      </c>
      <c r="B163" s="330" t="s">
        <v>560</v>
      </c>
      <c r="C163" s="331" t="s">
        <v>491</v>
      </c>
      <c r="D163" s="336">
        <v>190</v>
      </c>
      <c r="E163" s="333"/>
    </row>
    <row r="164" spans="1:5" ht="15.75">
      <c r="A164" s="335"/>
      <c r="B164" s="330"/>
      <c r="C164" s="331"/>
      <c r="D164" s="336"/>
      <c r="E164" s="333"/>
    </row>
    <row r="165" spans="1:5" ht="15.75">
      <c r="A165" s="335"/>
      <c r="B165" s="374" t="s">
        <v>555</v>
      </c>
      <c r="C165" s="375" t="s">
        <v>556</v>
      </c>
      <c r="D165" s="336"/>
      <c r="E165" s="333"/>
    </row>
    <row r="166" spans="1:5" ht="15.75">
      <c r="A166" s="335"/>
      <c r="B166" s="374"/>
      <c r="C166" s="375"/>
      <c r="D166" s="336"/>
      <c r="E166" s="333"/>
    </row>
    <row r="167" spans="1:5" ht="15.75">
      <c r="A167" s="335"/>
      <c r="B167" s="334" t="s">
        <v>561</v>
      </c>
      <c r="C167" s="375"/>
      <c r="D167" s="336"/>
      <c r="E167" s="333"/>
    </row>
    <row r="168" spans="1:5" ht="15.75">
      <c r="A168" s="335"/>
      <c r="B168" s="374"/>
      <c r="C168" s="375"/>
      <c r="D168" s="336"/>
      <c r="E168" s="333"/>
    </row>
    <row r="169" spans="1:5" ht="15.75">
      <c r="A169" s="335" t="s">
        <v>489</v>
      </c>
      <c r="B169" s="330" t="s">
        <v>562</v>
      </c>
      <c r="C169" s="375"/>
      <c r="D169" s="336"/>
      <c r="E169" s="333"/>
    </row>
    <row r="170" spans="1:5" ht="18">
      <c r="A170" s="335"/>
      <c r="B170" s="330" t="s">
        <v>563</v>
      </c>
      <c r="C170" s="375"/>
      <c r="D170" s="336"/>
      <c r="E170" s="333"/>
    </row>
    <row r="171" spans="1:5" ht="18">
      <c r="A171" s="335"/>
      <c r="B171" s="330" t="s">
        <v>564</v>
      </c>
      <c r="C171" s="375"/>
      <c r="D171" s="336"/>
      <c r="E171" s="333"/>
    </row>
    <row r="172" spans="1:5" ht="18">
      <c r="A172" s="335"/>
      <c r="B172" s="330" t="s">
        <v>565</v>
      </c>
      <c r="C172" s="331" t="s">
        <v>491</v>
      </c>
      <c r="D172" s="336">
        <v>146</v>
      </c>
      <c r="E172" s="333"/>
    </row>
    <row r="173" spans="1:5" ht="15.75">
      <c r="A173" s="335"/>
      <c r="B173" s="334"/>
      <c r="C173" s="331"/>
      <c r="D173" s="336"/>
      <c r="E173" s="333"/>
    </row>
    <row r="174" spans="1:5" ht="15.75">
      <c r="A174" s="335"/>
      <c r="B174" s="374" t="s">
        <v>566</v>
      </c>
      <c r="C174" s="375" t="s">
        <v>556</v>
      </c>
      <c r="D174" s="336"/>
      <c r="E174" s="333"/>
    </row>
    <row r="175" spans="1:5" ht="15.75">
      <c r="A175" s="335"/>
      <c r="B175" s="374"/>
      <c r="C175" s="375"/>
      <c r="D175" s="336"/>
      <c r="E175" s="333"/>
    </row>
    <row r="176" spans="1:5" ht="15.75">
      <c r="A176" s="335"/>
      <c r="B176" s="334" t="s">
        <v>567</v>
      </c>
      <c r="C176" s="375"/>
      <c r="D176" s="336"/>
      <c r="E176" s="333"/>
    </row>
    <row r="177" spans="1:5" ht="15.75">
      <c r="A177" s="335"/>
      <c r="B177" s="334" t="s">
        <v>568</v>
      </c>
      <c r="C177" s="375"/>
      <c r="D177" s="336"/>
      <c r="E177" s="333"/>
    </row>
    <row r="178" spans="1:5" ht="15.75">
      <c r="A178" s="335"/>
      <c r="B178" s="374"/>
      <c r="C178" s="375"/>
      <c r="D178" s="336"/>
      <c r="E178" s="333"/>
    </row>
    <row r="179" spans="1:5" ht="15.75">
      <c r="A179" s="335" t="s">
        <v>489</v>
      </c>
      <c r="B179" s="330" t="s">
        <v>569</v>
      </c>
      <c r="C179" s="331" t="s">
        <v>570</v>
      </c>
      <c r="D179" s="336">
        <v>2</v>
      </c>
      <c r="E179" s="333"/>
    </row>
    <row r="180" spans="1:5" ht="15.75">
      <c r="A180" s="335"/>
      <c r="B180" s="374"/>
      <c r="C180" s="375"/>
      <c r="D180" s="336"/>
      <c r="E180" s="333"/>
    </row>
    <row r="181" spans="1:5" ht="15.75">
      <c r="A181" s="335"/>
      <c r="B181" s="374" t="s">
        <v>566</v>
      </c>
      <c r="C181" s="375" t="s">
        <v>556</v>
      </c>
      <c r="D181" s="336"/>
      <c r="E181" s="333"/>
    </row>
    <row r="182" spans="1:5" ht="15.75">
      <c r="A182" s="335"/>
      <c r="B182" s="374"/>
      <c r="C182" s="375"/>
      <c r="D182" s="336"/>
      <c r="E182" s="333"/>
    </row>
    <row r="183" spans="1:5" ht="15.75">
      <c r="A183" s="335"/>
      <c r="B183" s="374"/>
      <c r="C183" s="375"/>
      <c r="D183" s="336"/>
      <c r="E183" s="333"/>
    </row>
    <row r="184" spans="1:5" ht="15.75">
      <c r="A184" s="329"/>
      <c r="B184" s="334" t="s">
        <v>571</v>
      </c>
      <c r="C184" s="331"/>
      <c r="D184" s="336"/>
      <c r="E184" s="333"/>
    </row>
    <row r="185" spans="1:5" ht="15.75">
      <c r="A185" s="329"/>
      <c r="B185" s="334"/>
      <c r="C185" s="331"/>
      <c r="D185" s="336"/>
      <c r="E185" s="333"/>
    </row>
    <row r="186" spans="1:5" ht="15.75">
      <c r="A186" s="329"/>
      <c r="B186" s="334" t="s">
        <v>572</v>
      </c>
      <c r="C186" s="331"/>
      <c r="D186" s="336"/>
      <c r="E186" s="333"/>
    </row>
    <row r="187" spans="1:5" ht="15.75">
      <c r="A187" s="329"/>
      <c r="B187" s="334" t="s">
        <v>573</v>
      </c>
      <c r="C187" s="331"/>
      <c r="D187" s="336"/>
      <c r="E187" s="333"/>
    </row>
    <row r="188" spans="1:5" ht="15.75">
      <c r="A188" s="329"/>
      <c r="B188" s="334" t="s">
        <v>574</v>
      </c>
      <c r="C188" s="331"/>
      <c r="D188" s="336"/>
      <c r="E188" s="333"/>
    </row>
    <row r="189" spans="1:5" ht="15.75">
      <c r="A189" s="335" t="s">
        <v>489</v>
      </c>
      <c r="B189" s="330" t="s">
        <v>575</v>
      </c>
      <c r="C189" s="331" t="s">
        <v>570</v>
      </c>
      <c r="D189" s="336">
        <v>1</v>
      </c>
      <c r="E189" s="333"/>
    </row>
    <row r="190" spans="1:5" ht="15.75">
      <c r="A190" s="335"/>
      <c r="B190" s="330"/>
      <c r="C190" s="331"/>
      <c r="D190" s="336"/>
      <c r="E190" s="333"/>
    </row>
    <row r="191" spans="1:5" ht="15.75">
      <c r="A191" s="335" t="s">
        <v>492</v>
      </c>
      <c r="B191" s="330" t="s">
        <v>576</v>
      </c>
      <c r="C191" s="331" t="s">
        <v>570</v>
      </c>
      <c r="D191" s="336">
        <v>1</v>
      </c>
      <c r="E191" s="333"/>
    </row>
    <row r="192" spans="1:5" ht="15.75">
      <c r="A192" s="335"/>
      <c r="B192" s="330"/>
      <c r="C192" s="331"/>
      <c r="D192" s="336"/>
      <c r="E192" s="333"/>
    </row>
    <row r="193" spans="1:5" ht="15.75">
      <c r="A193" s="335"/>
      <c r="B193" s="334" t="s">
        <v>577</v>
      </c>
      <c r="C193" s="331"/>
      <c r="D193" s="336"/>
      <c r="E193" s="333"/>
    </row>
    <row r="194" spans="1:5" ht="15.75">
      <c r="A194" s="335" t="s">
        <v>495</v>
      </c>
      <c r="B194" s="330" t="s">
        <v>578</v>
      </c>
      <c r="C194" s="331" t="s">
        <v>570</v>
      </c>
      <c r="D194" s="336">
        <v>4</v>
      </c>
      <c r="E194" s="333"/>
    </row>
    <row r="195" spans="1:5" ht="15.75">
      <c r="A195" s="335"/>
      <c r="B195" s="330"/>
      <c r="C195" s="331"/>
      <c r="D195" s="336"/>
      <c r="E195" s="333"/>
    </row>
    <row r="196" spans="1:5" ht="15.75">
      <c r="A196" s="335"/>
      <c r="B196" s="334" t="s">
        <v>579</v>
      </c>
      <c r="C196" s="331"/>
      <c r="D196" s="336"/>
      <c r="E196" s="333"/>
    </row>
    <row r="197" spans="1:5" ht="15.75">
      <c r="A197" s="335" t="s">
        <v>498</v>
      </c>
      <c r="B197" s="330" t="s">
        <v>580</v>
      </c>
      <c r="C197" s="331" t="s">
        <v>570</v>
      </c>
      <c r="D197" s="336">
        <v>2</v>
      </c>
      <c r="E197" s="333"/>
    </row>
    <row r="198" spans="1:5" ht="15.75">
      <c r="A198" s="335"/>
      <c r="B198" s="330"/>
      <c r="C198" s="331"/>
      <c r="D198" s="336"/>
      <c r="E198" s="333"/>
    </row>
    <row r="199" spans="1:5" ht="15.75">
      <c r="A199" s="335" t="s">
        <v>502</v>
      </c>
      <c r="B199" s="330" t="s">
        <v>581</v>
      </c>
      <c r="C199" s="331" t="s">
        <v>570</v>
      </c>
      <c r="D199" s="336">
        <v>9</v>
      </c>
      <c r="E199" s="333"/>
    </row>
    <row r="200" spans="1:5" ht="15.75">
      <c r="A200" s="335"/>
      <c r="B200" s="330"/>
      <c r="C200" s="331"/>
      <c r="D200" s="336"/>
      <c r="E200" s="333"/>
    </row>
    <row r="201" spans="1:5" ht="15.75">
      <c r="A201" s="335"/>
      <c r="B201" s="374" t="s">
        <v>582</v>
      </c>
      <c r="C201" s="375" t="s">
        <v>556</v>
      </c>
      <c r="D201" s="336"/>
      <c r="E201" s="333"/>
    </row>
    <row r="202" spans="1:5" ht="15.75">
      <c r="A202" s="335"/>
      <c r="B202" s="334"/>
      <c r="C202" s="331"/>
      <c r="D202" s="336"/>
      <c r="E202" s="333"/>
    </row>
    <row r="203" spans="1:5" ht="15.75">
      <c r="A203" s="335"/>
      <c r="B203" s="334" t="s">
        <v>583</v>
      </c>
      <c r="C203" s="331"/>
      <c r="D203" s="336"/>
      <c r="E203" s="333"/>
    </row>
    <row r="204" spans="1:5" ht="15.75">
      <c r="A204" s="335"/>
      <c r="B204" s="334"/>
      <c r="C204" s="331"/>
      <c r="D204" s="336"/>
      <c r="E204" s="333"/>
    </row>
    <row r="205" spans="1:5" ht="15.75">
      <c r="A205" s="329"/>
      <c r="B205" s="334" t="s">
        <v>584</v>
      </c>
      <c r="C205" s="375"/>
      <c r="D205" s="336"/>
      <c r="E205" s="333"/>
    </row>
    <row r="206" spans="1:5" ht="15.75">
      <c r="A206" s="329"/>
      <c r="B206" s="334"/>
      <c r="C206" s="331"/>
      <c r="D206" s="336"/>
      <c r="E206" s="333"/>
    </row>
    <row r="207" spans="1:5" ht="15.75">
      <c r="A207" s="329"/>
      <c r="B207" s="334" t="s">
        <v>585</v>
      </c>
      <c r="C207" s="331"/>
      <c r="D207" s="336"/>
      <c r="E207" s="333"/>
    </row>
    <row r="208" spans="1:5" ht="15.75">
      <c r="A208" s="329"/>
      <c r="B208" s="334" t="s">
        <v>586</v>
      </c>
      <c r="C208" s="331"/>
      <c r="D208" s="336"/>
      <c r="E208" s="333"/>
    </row>
    <row r="209" spans="1:5" ht="18">
      <c r="A209" s="335" t="s">
        <v>489</v>
      </c>
      <c r="B209" s="330" t="s">
        <v>587</v>
      </c>
      <c r="C209" s="331" t="s">
        <v>491</v>
      </c>
      <c r="D209" s="336">
        <v>238</v>
      </c>
      <c r="E209" s="333"/>
    </row>
    <row r="210" spans="1:5" ht="15.75">
      <c r="A210" s="329"/>
      <c r="B210" s="334"/>
      <c r="C210" s="331"/>
      <c r="D210" s="336"/>
      <c r="E210" s="333"/>
    </row>
    <row r="211" spans="1:5" ht="18">
      <c r="A211" s="335" t="s">
        <v>492</v>
      </c>
      <c r="B211" s="330" t="s">
        <v>588</v>
      </c>
      <c r="C211" s="331" t="s">
        <v>491</v>
      </c>
      <c r="D211" s="336">
        <v>45</v>
      </c>
      <c r="E211" s="333"/>
    </row>
    <row r="212" spans="1:5" ht="15.75">
      <c r="A212" s="335"/>
      <c r="B212" s="330"/>
      <c r="C212" s="331"/>
      <c r="D212" s="336"/>
      <c r="E212" s="333"/>
    </row>
    <row r="213" spans="1:5" ht="18">
      <c r="A213" s="335" t="s">
        <v>495</v>
      </c>
      <c r="B213" s="330" t="s">
        <v>589</v>
      </c>
      <c r="C213" s="331" t="s">
        <v>491</v>
      </c>
      <c r="D213" s="336">
        <v>134</v>
      </c>
      <c r="E213" s="333"/>
    </row>
    <row r="214" spans="1:5" ht="15.75">
      <c r="A214" s="335"/>
      <c r="B214" s="334"/>
      <c r="C214" s="331"/>
      <c r="D214" s="336"/>
      <c r="E214" s="333"/>
    </row>
    <row r="215" spans="1:5" ht="15.75">
      <c r="A215" s="335"/>
      <c r="B215" s="334" t="s">
        <v>590</v>
      </c>
      <c r="C215" s="331"/>
      <c r="D215" s="336"/>
      <c r="E215" s="333"/>
    </row>
    <row r="216" spans="1:5" ht="18">
      <c r="A216" s="335" t="s">
        <v>498</v>
      </c>
      <c r="B216" s="330" t="s">
        <v>587</v>
      </c>
      <c r="C216" s="331" t="s">
        <v>491</v>
      </c>
      <c r="D216" s="336">
        <v>142</v>
      </c>
      <c r="E216" s="333"/>
    </row>
    <row r="217" spans="1:5" ht="15.75">
      <c r="A217" s="329"/>
      <c r="B217" s="334"/>
      <c r="C217" s="331"/>
      <c r="D217" s="336"/>
      <c r="E217" s="333"/>
    </row>
    <row r="218" spans="1:5" ht="18">
      <c r="A218" s="335" t="s">
        <v>502</v>
      </c>
      <c r="B218" s="330" t="s">
        <v>591</v>
      </c>
      <c r="C218" s="331" t="s">
        <v>491</v>
      </c>
      <c r="D218" s="336">
        <v>82</v>
      </c>
      <c r="E218" s="333"/>
    </row>
    <row r="219" spans="1:5" ht="15.75">
      <c r="A219" s="335"/>
      <c r="B219" s="334"/>
      <c r="C219" s="331"/>
      <c r="D219" s="336"/>
      <c r="E219" s="333"/>
    </row>
    <row r="220" spans="1:5" ht="15.75">
      <c r="A220" s="335"/>
      <c r="B220" s="334"/>
      <c r="C220" s="331"/>
      <c r="D220" s="336"/>
      <c r="E220" s="333"/>
    </row>
    <row r="221" spans="1:5" ht="15.75">
      <c r="A221" s="329"/>
      <c r="B221" s="334" t="s">
        <v>592</v>
      </c>
      <c r="C221" s="331"/>
      <c r="D221" s="336"/>
      <c r="E221" s="333"/>
    </row>
    <row r="222" spans="1:5" ht="18">
      <c r="A222" s="335" t="s">
        <v>507</v>
      </c>
      <c r="B222" s="330" t="s">
        <v>593</v>
      </c>
      <c r="C222" s="331" t="s">
        <v>491</v>
      </c>
      <c r="D222" s="336">
        <v>283</v>
      </c>
      <c r="E222" s="333"/>
    </row>
    <row r="223" spans="1:5" ht="15.75">
      <c r="A223" s="329"/>
      <c r="B223" s="334"/>
      <c r="C223" s="331"/>
      <c r="D223" s="336"/>
      <c r="E223" s="333"/>
    </row>
    <row r="224" spans="1:5" ht="18">
      <c r="A224" s="335" t="s">
        <v>526</v>
      </c>
      <c r="B224" s="330" t="s">
        <v>589</v>
      </c>
      <c r="C224" s="331" t="s">
        <v>491</v>
      </c>
      <c r="D224" s="336">
        <v>134</v>
      </c>
      <c r="E224" s="333"/>
    </row>
    <row r="225" spans="1:5" ht="15.75">
      <c r="A225" s="335"/>
      <c r="B225" s="330"/>
      <c r="C225" s="331"/>
      <c r="D225" s="336"/>
      <c r="E225" s="333"/>
    </row>
    <row r="226" spans="1:5" ht="15.75">
      <c r="A226" s="335"/>
      <c r="B226" s="334" t="s">
        <v>594</v>
      </c>
      <c r="C226" s="331"/>
      <c r="D226" s="336"/>
      <c r="E226" s="333"/>
    </row>
    <row r="227" spans="1:5" ht="18">
      <c r="A227" s="335" t="s">
        <v>528</v>
      </c>
      <c r="B227" s="330" t="s">
        <v>595</v>
      </c>
      <c r="C227" s="331" t="s">
        <v>491</v>
      </c>
      <c r="D227" s="336">
        <v>224</v>
      </c>
      <c r="E227" s="333"/>
    </row>
    <row r="228" spans="1:5" ht="15.75">
      <c r="A228" s="329"/>
      <c r="B228" s="334"/>
      <c r="C228" s="331"/>
      <c r="D228" s="336"/>
      <c r="E228" s="333"/>
    </row>
    <row r="229" spans="1:5" ht="15.75">
      <c r="A229" s="335"/>
      <c r="B229" s="374" t="s">
        <v>582</v>
      </c>
      <c r="C229" s="375" t="s">
        <v>556</v>
      </c>
      <c r="D229" s="336"/>
      <c r="E229" s="333"/>
    </row>
    <row r="230" spans="1:5" ht="15.75">
      <c r="A230" s="329"/>
      <c r="B230" s="334"/>
      <c r="C230" s="331"/>
      <c r="D230" s="336"/>
      <c r="E230" s="333"/>
    </row>
    <row r="231" spans="1:5" ht="15.75">
      <c r="A231" s="335"/>
      <c r="B231" s="334" t="s">
        <v>596</v>
      </c>
      <c r="C231" s="331"/>
      <c r="D231" s="336"/>
      <c r="E231" s="333"/>
    </row>
    <row r="232" spans="1:5" ht="15.75">
      <c r="A232" s="335"/>
      <c r="B232" s="334"/>
      <c r="C232" s="331"/>
      <c r="D232" s="336"/>
      <c r="E232" s="333"/>
    </row>
    <row r="233" spans="1:5" ht="15.75">
      <c r="A233" s="329"/>
      <c r="B233" s="334" t="s">
        <v>597</v>
      </c>
      <c r="C233" s="375"/>
      <c r="D233" s="336"/>
      <c r="E233" s="333"/>
    </row>
    <row r="234" spans="1:5" ht="18">
      <c r="A234" s="335" t="s">
        <v>489</v>
      </c>
      <c r="B234" s="330" t="s">
        <v>598</v>
      </c>
      <c r="C234" s="331" t="s">
        <v>491</v>
      </c>
      <c r="D234" s="336">
        <v>103</v>
      </c>
      <c r="E234" s="333"/>
    </row>
    <row r="235" spans="1:5" ht="15.75">
      <c r="A235" s="335"/>
      <c r="B235" s="330"/>
      <c r="C235" s="331"/>
      <c r="D235" s="336"/>
      <c r="E235" s="333"/>
    </row>
    <row r="236" spans="1:5" ht="15.75">
      <c r="A236" s="335"/>
      <c r="B236" s="334" t="s">
        <v>599</v>
      </c>
      <c r="C236" s="331"/>
      <c r="D236" s="336"/>
      <c r="E236" s="333"/>
    </row>
    <row r="237" spans="1:5" ht="15.75">
      <c r="A237" s="335" t="s">
        <v>492</v>
      </c>
      <c r="B237" s="330" t="s">
        <v>600</v>
      </c>
      <c r="C237" s="331" t="s">
        <v>64</v>
      </c>
      <c r="D237" s="336">
        <v>18</v>
      </c>
      <c r="E237" s="333"/>
    </row>
    <row r="238" spans="1:5" ht="15.75">
      <c r="A238" s="335"/>
      <c r="B238" s="330"/>
      <c r="C238" s="331"/>
      <c r="D238" s="336"/>
      <c r="E238" s="333"/>
    </row>
    <row r="239" spans="1:5" ht="15.75">
      <c r="A239" s="335"/>
      <c r="B239" s="334" t="s">
        <v>601</v>
      </c>
      <c r="C239" s="331"/>
      <c r="D239" s="336"/>
      <c r="E239" s="333"/>
    </row>
    <row r="240" spans="1:5" ht="18">
      <c r="A240" s="335" t="s">
        <v>495</v>
      </c>
      <c r="B240" s="330" t="s">
        <v>602</v>
      </c>
      <c r="C240" s="331" t="s">
        <v>491</v>
      </c>
      <c r="D240" s="336">
        <v>43</v>
      </c>
      <c r="E240" s="333"/>
    </row>
    <row r="241" spans="1:5" ht="15.75">
      <c r="A241" s="335"/>
      <c r="B241" s="334"/>
      <c r="C241" s="331"/>
      <c r="D241" s="336"/>
      <c r="E241" s="333"/>
    </row>
    <row r="242" spans="1:5" ht="15.75">
      <c r="A242" s="335"/>
      <c r="B242" s="374" t="s">
        <v>582</v>
      </c>
      <c r="C242" s="375" t="s">
        <v>556</v>
      </c>
      <c r="D242" s="336"/>
      <c r="E242" s="333"/>
    </row>
    <row r="243" spans="1:5" ht="15.75">
      <c r="A243" s="335"/>
      <c r="B243" s="334"/>
      <c r="C243" s="331"/>
      <c r="D243" s="336"/>
      <c r="E243" s="333"/>
    </row>
    <row r="244" spans="1:5" ht="15.75">
      <c r="A244" s="335"/>
      <c r="B244" s="334" t="s">
        <v>603</v>
      </c>
      <c r="C244" s="331"/>
      <c r="D244" s="336"/>
      <c r="E244" s="333"/>
    </row>
    <row r="245" spans="1:5" ht="15.75">
      <c r="A245" s="335"/>
      <c r="B245" s="334"/>
      <c r="C245" s="331"/>
      <c r="D245" s="336"/>
      <c r="E245" s="333"/>
    </row>
    <row r="246" spans="1:5" ht="15.75">
      <c r="A246" s="329"/>
      <c r="B246" s="334" t="s">
        <v>604</v>
      </c>
      <c r="C246" s="331"/>
      <c r="D246" s="336"/>
      <c r="E246" s="333"/>
    </row>
    <row r="247" spans="1:5" ht="18">
      <c r="A247" s="335" t="s">
        <v>489</v>
      </c>
      <c r="B247" s="330" t="s">
        <v>605</v>
      </c>
      <c r="C247" s="331" t="s">
        <v>491</v>
      </c>
      <c r="D247" s="336">
        <v>142</v>
      </c>
      <c r="E247" s="333"/>
    </row>
    <row r="248" spans="1:5" ht="15.75">
      <c r="A248" s="329"/>
      <c r="B248" s="334"/>
      <c r="C248" s="331"/>
      <c r="D248" s="336"/>
      <c r="E248" s="333"/>
    </row>
    <row r="249" spans="1:5" ht="18">
      <c r="A249" s="335" t="s">
        <v>492</v>
      </c>
      <c r="B249" s="330" t="s">
        <v>589</v>
      </c>
      <c r="C249" s="331" t="s">
        <v>491</v>
      </c>
      <c r="D249" s="336">
        <v>134</v>
      </c>
      <c r="E249" s="333"/>
    </row>
    <row r="250" spans="1:5" ht="15.75">
      <c r="A250" s="335"/>
      <c r="B250" s="330"/>
      <c r="C250" s="331"/>
      <c r="D250" s="336"/>
      <c r="E250" s="333"/>
    </row>
    <row r="251" spans="1:5" ht="18">
      <c r="A251" s="335" t="s">
        <v>495</v>
      </c>
      <c r="B251" s="330" t="s">
        <v>606</v>
      </c>
      <c r="C251" s="331" t="s">
        <v>491</v>
      </c>
      <c r="D251" s="336">
        <v>224</v>
      </c>
      <c r="E251" s="333"/>
    </row>
    <row r="252" spans="1:5" ht="15.75">
      <c r="A252" s="335"/>
      <c r="B252" s="330"/>
      <c r="C252" s="331"/>
      <c r="D252" s="336"/>
      <c r="E252" s="333"/>
    </row>
    <row r="253" spans="1:5" ht="15.75">
      <c r="A253" s="329"/>
      <c r="B253" s="374" t="s">
        <v>582</v>
      </c>
      <c r="C253" s="375" t="s">
        <v>556</v>
      </c>
      <c r="D253" s="336"/>
      <c r="E253" s="333"/>
    </row>
    <row r="254" spans="1:5" ht="15.75">
      <c r="A254" s="329"/>
      <c r="B254" s="374"/>
      <c r="C254" s="375"/>
      <c r="D254" s="336"/>
      <c r="E254" s="333"/>
    </row>
    <row r="255" spans="1:5" ht="15.75">
      <c r="A255" s="329"/>
      <c r="B255" s="374"/>
      <c r="C255" s="375"/>
      <c r="D255" s="336"/>
      <c r="E255" s="333"/>
    </row>
    <row r="256" spans="1:5" ht="15.75">
      <c r="A256" s="329"/>
      <c r="B256" s="374"/>
      <c r="C256" s="375"/>
      <c r="D256" s="336"/>
      <c r="E256" s="333"/>
    </row>
    <row r="257" spans="1:5" ht="15.75">
      <c r="A257" s="335"/>
      <c r="B257" s="334"/>
      <c r="C257" s="331"/>
      <c r="D257" s="336"/>
      <c r="E257" s="333"/>
    </row>
    <row r="258" spans="1:5" ht="15.75">
      <c r="A258" s="335"/>
      <c r="B258" s="334" t="s">
        <v>607</v>
      </c>
      <c r="C258" s="331"/>
      <c r="D258" s="336"/>
      <c r="E258" s="333"/>
    </row>
    <row r="259" spans="1:5" ht="15.75">
      <c r="A259" s="335"/>
      <c r="B259" s="334"/>
      <c r="C259" s="331"/>
      <c r="D259" s="336"/>
      <c r="E259" s="333"/>
    </row>
    <row r="260" spans="1:5" ht="15.75">
      <c r="A260" s="329"/>
      <c r="B260" s="334" t="s">
        <v>608</v>
      </c>
      <c r="C260" s="331"/>
      <c r="D260" s="336"/>
      <c r="E260" s="333"/>
    </row>
    <row r="261" spans="1:5" ht="15.75">
      <c r="A261" s="329"/>
      <c r="B261" s="334" t="s">
        <v>609</v>
      </c>
      <c r="C261" s="331"/>
      <c r="D261" s="336"/>
      <c r="E261" s="333"/>
    </row>
    <row r="262" spans="1:5" ht="18">
      <c r="A262" s="335" t="s">
        <v>489</v>
      </c>
      <c r="B262" s="330" t="s">
        <v>610</v>
      </c>
      <c r="C262" s="331" t="s">
        <v>491</v>
      </c>
      <c r="D262" s="336">
        <v>2</v>
      </c>
      <c r="E262" s="333"/>
    </row>
    <row r="263" spans="1:5" ht="15.75">
      <c r="A263" s="329"/>
      <c r="B263" s="334"/>
      <c r="C263" s="331"/>
      <c r="D263" s="336"/>
      <c r="E263" s="333"/>
    </row>
    <row r="264" spans="1:5" ht="15.75">
      <c r="A264" s="335"/>
      <c r="B264" s="374" t="s">
        <v>582</v>
      </c>
      <c r="C264" s="331"/>
      <c r="D264" s="336"/>
      <c r="E264" s="333"/>
    </row>
    <row r="265" spans="1:5" ht="15.75">
      <c r="A265" s="329"/>
      <c r="B265" s="330"/>
      <c r="C265" s="331"/>
      <c r="D265" s="332"/>
      <c r="E265" s="333"/>
    </row>
    <row r="266" spans="1:5" ht="15.75">
      <c r="A266" s="329"/>
      <c r="B266" s="334" t="s">
        <v>611</v>
      </c>
      <c r="C266" s="329"/>
      <c r="D266" s="376"/>
      <c r="E266" s="377"/>
    </row>
    <row r="267" spans="1:5" ht="15.75">
      <c r="A267" s="329"/>
      <c r="B267" s="330"/>
      <c r="C267" s="329"/>
      <c r="D267" s="376"/>
      <c r="E267" s="377"/>
    </row>
    <row r="268" spans="1:5" ht="15.75">
      <c r="A268" s="335" t="s">
        <v>489</v>
      </c>
      <c r="B268" s="330" t="s">
        <v>612</v>
      </c>
      <c r="C268" s="329"/>
      <c r="D268" s="376"/>
      <c r="E268" s="377"/>
    </row>
    <row r="269" spans="1:5" ht="15.75">
      <c r="A269" s="329"/>
      <c r="B269" s="330" t="s">
        <v>613</v>
      </c>
      <c r="C269" s="329"/>
      <c r="D269" s="376"/>
      <c r="E269" s="377"/>
    </row>
    <row r="270" spans="1:5" ht="15.75">
      <c r="A270" s="329"/>
      <c r="B270" s="330" t="s">
        <v>614</v>
      </c>
      <c r="C270" s="329"/>
      <c r="D270" s="376"/>
      <c r="E270" s="377"/>
    </row>
    <row r="271" spans="1:5" ht="15.75">
      <c r="A271" s="329"/>
      <c r="B271" s="330" t="s">
        <v>615</v>
      </c>
      <c r="C271" s="329"/>
      <c r="D271" s="376"/>
      <c r="E271" s="377"/>
    </row>
    <row r="272" spans="1:5" ht="15.75">
      <c r="A272" s="329"/>
      <c r="B272" s="330" t="s">
        <v>615</v>
      </c>
      <c r="C272" s="329" t="s">
        <v>570</v>
      </c>
      <c r="D272" s="376">
        <v>2</v>
      </c>
      <c r="E272" s="377"/>
    </row>
    <row r="273" spans="1:5" ht="15.75">
      <c r="A273" s="329"/>
      <c r="B273" s="378"/>
      <c r="C273" s="329"/>
      <c r="D273" s="376"/>
      <c r="E273" s="377"/>
    </row>
    <row r="274" spans="1:5" ht="15.75">
      <c r="A274" s="335" t="s">
        <v>492</v>
      </c>
      <c r="B274" s="330" t="s">
        <v>616</v>
      </c>
      <c r="C274" s="329"/>
      <c r="D274" s="376"/>
      <c r="E274" s="379"/>
    </row>
    <row r="275" spans="1:5" ht="15.75">
      <c r="A275" s="329"/>
      <c r="B275" s="330" t="s">
        <v>617</v>
      </c>
      <c r="C275" s="329"/>
      <c r="D275" s="376"/>
      <c r="E275" s="379"/>
    </row>
    <row r="276" spans="1:5" ht="15.75">
      <c r="A276" s="329"/>
      <c r="B276" s="330" t="s">
        <v>618</v>
      </c>
      <c r="C276" s="329" t="s">
        <v>570</v>
      </c>
      <c r="D276" s="376">
        <v>8</v>
      </c>
      <c r="E276" s="379"/>
    </row>
    <row r="277" spans="1:5" ht="15.75">
      <c r="A277" s="329"/>
      <c r="B277" s="330"/>
      <c r="C277" s="329"/>
      <c r="D277" s="376"/>
      <c r="E277" s="379"/>
    </row>
    <row r="278" spans="1:5" ht="15.75">
      <c r="A278" s="335" t="s">
        <v>495</v>
      </c>
      <c r="B278" s="330" t="s">
        <v>619</v>
      </c>
      <c r="C278" s="329" t="s">
        <v>570</v>
      </c>
      <c r="D278" s="376">
        <v>6</v>
      </c>
      <c r="E278" s="379"/>
    </row>
    <row r="279" spans="1:5" ht="15.75">
      <c r="A279" s="329"/>
      <c r="B279" s="330"/>
      <c r="C279" s="329"/>
      <c r="D279" s="376"/>
      <c r="E279" s="379"/>
    </row>
    <row r="280" spans="1:5" ht="15.75">
      <c r="A280" s="335" t="s">
        <v>498</v>
      </c>
      <c r="B280" s="330" t="s">
        <v>620</v>
      </c>
      <c r="C280" s="329"/>
      <c r="D280" s="376"/>
      <c r="E280" s="379"/>
    </row>
    <row r="281" spans="1:5" ht="15.75">
      <c r="A281" s="329"/>
      <c r="B281" s="330" t="s">
        <v>621</v>
      </c>
      <c r="C281" s="329" t="s">
        <v>570</v>
      </c>
      <c r="D281" s="376">
        <v>6</v>
      </c>
      <c r="E281" s="379"/>
    </row>
    <row r="282" spans="1:5" ht="15.75">
      <c r="A282" s="329"/>
      <c r="B282" s="330"/>
      <c r="C282" s="329"/>
      <c r="D282" s="376"/>
      <c r="E282" s="379"/>
    </row>
    <row r="283" spans="1:5" ht="15.75">
      <c r="A283" s="335" t="s">
        <v>502</v>
      </c>
      <c r="B283" s="330" t="s">
        <v>622</v>
      </c>
      <c r="C283" s="329"/>
      <c r="D283" s="376"/>
      <c r="E283" s="379"/>
    </row>
    <row r="284" spans="1:5" ht="15.75">
      <c r="A284" s="329"/>
      <c r="B284" s="330" t="s">
        <v>623</v>
      </c>
      <c r="C284" s="329" t="s">
        <v>176</v>
      </c>
      <c r="D284" s="376">
        <v>40</v>
      </c>
      <c r="E284" s="379"/>
    </row>
    <row r="285" spans="1:5" ht="15.75">
      <c r="A285" s="329"/>
      <c r="B285" s="334"/>
      <c r="C285" s="329"/>
      <c r="D285" s="376"/>
      <c r="E285" s="379"/>
    </row>
    <row r="286" spans="1:5" ht="15.75">
      <c r="A286" s="335" t="s">
        <v>507</v>
      </c>
      <c r="B286" s="330" t="s">
        <v>624</v>
      </c>
      <c r="C286" s="329"/>
      <c r="D286" s="376"/>
      <c r="E286" s="379"/>
    </row>
    <row r="287" spans="1:5" ht="15.75">
      <c r="A287" s="329"/>
      <c r="B287" s="330" t="s">
        <v>625</v>
      </c>
      <c r="C287" s="329" t="s">
        <v>570</v>
      </c>
      <c r="D287" s="376">
        <v>8</v>
      </c>
      <c r="E287" s="379"/>
    </row>
    <row r="288" spans="1:5" ht="15.75">
      <c r="A288" s="329"/>
      <c r="B288" s="330"/>
      <c r="C288" s="329"/>
      <c r="D288" s="376"/>
      <c r="E288" s="379"/>
    </row>
    <row r="289" spans="1:5" ht="15.75">
      <c r="A289" s="335"/>
      <c r="B289" s="330"/>
      <c r="C289" s="329"/>
      <c r="D289" s="376"/>
      <c r="E289" s="379"/>
    </row>
    <row r="290" spans="1:5" ht="15.75">
      <c r="A290" s="329"/>
      <c r="B290" s="374" t="s">
        <v>582</v>
      </c>
      <c r="C290" s="331"/>
      <c r="D290" s="336"/>
      <c r="E290" s="333"/>
    </row>
    <row r="291" spans="1:5" ht="15.75">
      <c r="A291" s="330"/>
      <c r="B291" s="330"/>
      <c r="C291" s="330"/>
      <c r="D291" s="330"/>
      <c r="E291" s="330"/>
    </row>
  </sheetData>
  <sheetProtection/>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V345"/>
  <sheetViews>
    <sheetView showZeros="0" zoomScalePageLayoutView="0" workbookViewId="0" topLeftCell="A2">
      <selection activeCell="E29" sqref="E29"/>
    </sheetView>
  </sheetViews>
  <sheetFormatPr defaultColWidth="9.140625" defaultRowHeight="12.75" outlineLevelCol="2"/>
  <cols>
    <col min="1" max="1" width="4.421875" style="113" customWidth="1"/>
    <col min="2" max="2" width="4.140625" style="115" bestFit="1" customWidth="1"/>
    <col min="3" max="3" width="3.7109375" style="115" bestFit="1" customWidth="1"/>
    <col min="4" max="4" width="3.7109375" style="116" bestFit="1" customWidth="1"/>
    <col min="5" max="5" width="60.8515625" style="100" bestFit="1" customWidth="1"/>
    <col min="6" max="6" width="8.28125" style="97" customWidth="1"/>
    <col min="7" max="7" width="8.28125" style="91" customWidth="1"/>
    <col min="8" max="8" width="14.7109375" style="98" customWidth="1" outlineLevel="2"/>
    <col min="9" max="9" width="10.7109375" style="132" customWidth="1" outlineLevel="2"/>
    <col min="10" max="10" width="10.7109375" style="98" customWidth="1" outlineLevel="2"/>
    <col min="11" max="11" width="10.7109375" style="98" customWidth="1" outlineLevel="1"/>
    <col min="12" max="12" width="9.7109375" style="98" customWidth="1" outlineLevel="2"/>
    <col min="13" max="13" width="9.7109375" style="132" customWidth="1" outlineLevel="2"/>
    <col min="14" max="14" width="10.28125" style="98" customWidth="1" outlineLevel="2"/>
    <col min="15" max="15" width="11.140625" style="98" customWidth="1" outlineLevel="1"/>
    <col min="16" max="16" width="10.421875" style="99" customWidth="1" outlineLevel="2"/>
    <col min="17" max="17" width="10.421875" style="132" customWidth="1" outlineLevel="2"/>
    <col min="18" max="18" width="10.421875" style="99" customWidth="1" outlineLevel="2"/>
    <col min="19" max="19" width="10.421875" style="99" customWidth="1" outlineLevel="1"/>
    <col min="20" max="20" width="10.00390625" style="133" bestFit="1" customWidth="1"/>
    <col min="21" max="21" width="12.28125" style="134" bestFit="1" customWidth="1"/>
    <col min="22" max="16384" width="9.140625" style="93" customWidth="1"/>
  </cols>
  <sheetData>
    <row r="1" spans="2:4" ht="15.75">
      <c r="B1" s="95"/>
      <c r="C1" s="95"/>
      <c r="D1" s="88"/>
    </row>
    <row r="2" spans="1:4" ht="15.75">
      <c r="A2" s="135" t="s">
        <v>120</v>
      </c>
      <c r="B2" s="95"/>
      <c r="C2" s="95"/>
      <c r="D2" s="88"/>
    </row>
    <row r="3" spans="1:4" ht="15.75">
      <c r="A3" s="93" t="s">
        <v>282</v>
      </c>
      <c r="B3" s="95"/>
      <c r="C3" s="95"/>
      <c r="D3" s="88"/>
    </row>
    <row r="4" spans="1:7" ht="15.75">
      <c r="A4" s="136"/>
      <c r="B4" s="95"/>
      <c r="C4" s="95"/>
      <c r="D4" s="88"/>
      <c r="G4" s="91" t="s">
        <v>10</v>
      </c>
    </row>
    <row r="5" spans="1:4" ht="16.5" thickBot="1">
      <c r="A5" s="137"/>
      <c r="B5" s="95"/>
      <c r="C5" s="95"/>
      <c r="D5" s="88"/>
    </row>
    <row r="6" spans="1:20" ht="40.5" thickBot="1" thickTop="1">
      <c r="A6" s="138" t="s">
        <v>0</v>
      </c>
      <c r="B6" s="138" t="s">
        <v>1</v>
      </c>
      <c r="C6" s="138" t="s">
        <v>2</v>
      </c>
      <c r="D6" s="138" t="s">
        <v>3</v>
      </c>
      <c r="E6" s="139" t="s">
        <v>4</v>
      </c>
      <c r="F6" s="139" t="s">
        <v>5</v>
      </c>
      <c r="G6" s="140" t="s">
        <v>6</v>
      </c>
      <c r="H6" s="141" t="s">
        <v>121</v>
      </c>
      <c r="I6" s="142" t="s">
        <v>122</v>
      </c>
      <c r="J6" s="143" t="s">
        <v>123</v>
      </c>
      <c r="K6" s="143" t="s">
        <v>124</v>
      </c>
      <c r="L6" s="141" t="s">
        <v>125</v>
      </c>
      <c r="M6" s="142" t="s">
        <v>126</v>
      </c>
      <c r="N6" s="143" t="s">
        <v>7</v>
      </c>
      <c r="O6" s="143" t="s">
        <v>124</v>
      </c>
      <c r="P6" s="141" t="s">
        <v>127</v>
      </c>
      <c r="Q6" s="142" t="s">
        <v>122</v>
      </c>
      <c r="R6" s="143" t="s">
        <v>7</v>
      </c>
      <c r="S6" s="143" t="s">
        <v>124</v>
      </c>
      <c r="T6" s="144" t="s">
        <v>128</v>
      </c>
    </row>
    <row r="7" spans="1:20" ht="18" thickBot="1" thickTop="1">
      <c r="A7" s="94"/>
      <c r="B7" s="95"/>
      <c r="C7" s="95"/>
      <c r="D7" s="88"/>
      <c r="J7" s="145"/>
      <c r="K7" s="145"/>
      <c r="N7" s="145"/>
      <c r="O7" s="145"/>
      <c r="R7" s="133"/>
      <c r="S7" s="146"/>
      <c r="T7" s="147"/>
    </row>
    <row r="8" spans="1:21" s="109" customFormat="1" ht="16.5" thickTop="1">
      <c r="A8" s="148" t="s">
        <v>11</v>
      </c>
      <c r="B8" s="149">
        <v>1</v>
      </c>
      <c r="C8" s="149"/>
      <c r="D8" s="150"/>
      <c r="E8" s="151" t="s">
        <v>33</v>
      </c>
      <c r="F8" s="152"/>
      <c r="G8" s="153"/>
      <c r="H8" s="154"/>
      <c r="I8" s="155"/>
      <c r="J8" s="156"/>
      <c r="K8" s="156"/>
      <c r="L8" s="154"/>
      <c r="M8" s="155"/>
      <c r="N8" s="156"/>
      <c r="O8" s="156"/>
      <c r="P8" s="157"/>
      <c r="Q8" s="158"/>
      <c r="R8" s="159"/>
      <c r="S8" s="160"/>
      <c r="T8" s="161"/>
      <c r="U8" s="162"/>
    </row>
    <row r="9" spans="1:21" s="109" customFormat="1" ht="15.75">
      <c r="A9" s="163" t="s">
        <v>11</v>
      </c>
      <c r="B9" s="164">
        <v>1</v>
      </c>
      <c r="C9" s="164"/>
      <c r="D9" s="165"/>
      <c r="E9" s="166" t="s">
        <v>34</v>
      </c>
      <c r="F9" s="167"/>
      <c r="G9" s="168"/>
      <c r="H9" s="169"/>
      <c r="I9" s="170"/>
      <c r="J9" s="171"/>
      <c r="K9" s="171"/>
      <c r="L9" s="169"/>
      <c r="M9" s="170"/>
      <c r="N9" s="171"/>
      <c r="O9" s="171"/>
      <c r="P9" s="172"/>
      <c r="Q9" s="173"/>
      <c r="R9" s="174"/>
      <c r="S9" s="175"/>
      <c r="T9" s="176"/>
      <c r="U9" s="162"/>
    </row>
    <row r="10" spans="1:21" ht="15.75">
      <c r="A10" s="177" t="s">
        <v>11</v>
      </c>
      <c r="B10" s="178">
        <v>1</v>
      </c>
      <c r="C10" s="178">
        <v>1</v>
      </c>
      <c r="D10" s="179"/>
      <c r="E10" s="166" t="s">
        <v>417</v>
      </c>
      <c r="F10" s="180" t="s">
        <v>35</v>
      </c>
      <c r="G10" s="181">
        <v>250.74</v>
      </c>
      <c r="H10" s="169" t="s">
        <v>129</v>
      </c>
      <c r="I10" s="170">
        <f>ROUNDUP(G10/0.75,0)</f>
        <v>335</v>
      </c>
      <c r="J10" s="171">
        <v>26</v>
      </c>
      <c r="K10" s="171">
        <f>I10*J10/8</f>
        <v>1088.75</v>
      </c>
      <c r="L10" s="169"/>
      <c r="M10" s="170"/>
      <c r="N10" s="171">
        <v>0</v>
      </c>
      <c r="O10" s="171">
        <f>M10*N10</f>
        <v>0</v>
      </c>
      <c r="P10" s="182"/>
      <c r="Q10" s="170"/>
      <c r="R10" s="183">
        <v>0</v>
      </c>
      <c r="S10" s="184">
        <f>R10*Q10</f>
        <v>0</v>
      </c>
      <c r="T10" s="185">
        <f>(SUM(K10:K11,O10:O11,S10:S11)/G10)*1.02</f>
        <v>4.766122278056951</v>
      </c>
      <c r="U10" s="134">
        <f aca="true" t="shared" si="0" ref="U10:U73">T10*G10</f>
        <v>1195.0575</v>
      </c>
    </row>
    <row r="11" spans="1:21" ht="15.75">
      <c r="A11" s="177"/>
      <c r="B11" s="178"/>
      <c r="C11" s="178"/>
      <c r="D11" s="179"/>
      <c r="E11" s="166"/>
      <c r="F11" s="180"/>
      <c r="G11" s="181"/>
      <c r="H11" s="169" t="s">
        <v>130</v>
      </c>
      <c r="I11" s="170">
        <f>ROUNDUP(G10/15,0)</f>
        <v>17</v>
      </c>
      <c r="J11" s="171">
        <v>39</v>
      </c>
      <c r="K11" s="171">
        <f aca="true" t="shared" si="1" ref="K11:K80">I11*J11/8</f>
        <v>82.875</v>
      </c>
      <c r="L11" s="169"/>
      <c r="M11" s="170"/>
      <c r="N11" s="171">
        <v>0</v>
      </c>
      <c r="O11" s="171">
        <f aca="true" t="shared" si="2" ref="O11:O80">M11*N11</f>
        <v>0</v>
      </c>
      <c r="P11" s="182"/>
      <c r="Q11" s="170"/>
      <c r="R11" s="183">
        <v>0</v>
      </c>
      <c r="S11" s="184">
        <f aca="true" t="shared" si="3" ref="S11:S80">R11*Q11</f>
        <v>0</v>
      </c>
      <c r="T11" s="185"/>
      <c r="U11" s="134">
        <f t="shared" si="0"/>
        <v>0</v>
      </c>
    </row>
    <row r="12" spans="1:21" ht="27.75">
      <c r="A12" s="177" t="s">
        <v>11</v>
      </c>
      <c r="B12" s="178">
        <v>1</v>
      </c>
      <c r="C12" s="178">
        <v>2</v>
      </c>
      <c r="D12" s="179"/>
      <c r="E12" s="186" t="s">
        <v>418</v>
      </c>
      <c r="F12" s="180" t="s">
        <v>36</v>
      </c>
      <c r="G12" s="181">
        <v>54.15</v>
      </c>
      <c r="H12" s="169" t="s">
        <v>129</v>
      </c>
      <c r="I12" s="170">
        <f>ROUNDUP(G12/0.2,)</f>
        <v>271</v>
      </c>
      <c r="J12" s="171">
        <v>26</v>
      </c>
      <c r="K12" s="171">
        <f>I12*J12/8</f>
        <v>880.75</v>
      </c>
      <c r="L12" s="169"/>
      <c r="M12" s="170"/>
      <c r="N12" s="171">
        <v>0</v>
      </c>
      <c r="O12" s="171">
        <f t="shared" si="2"/>
        <v>0</v>
      </c>
      <c r="P12" s="182"/>
      <c r="Q12" s="170"/>
      <c r="R12" s="183">
        <v>0</v>
      </c>
      <c r="S12" s="184">
        <f t="shared" si="3"/>
        <v>0</v>
      </c>
      <c r="T12" s="185">
        <f>(SUM(K12:K13,O12:O13,S12:S13)/G12)*1.02</f>
        <v>17.875900277008313</v>
      </c>
      <c r="U12" s="134">
        <f t="shared" si="0"/>
        <v>967.9800000000001</v>
      </c>
    </row>
    <row r="13" spans="1:21" ht="15.75">
      <c r="A13" s="177"/>
      <c r="B13" s="178"/>
      <c r="C13" s="178"/>
      <c r="D13" s="179"/>
      <c r="E13" s="186"/>
      <c r="F13" s="180"/>
      <c r="G13" s="181"/>
      <c r="H13" s="169" t="s">
        <v>130</v>
      </c>
      <c r="I13" s="170">
        <f>ROUNDUP(G12/4,0)</f>
        <v>14</v>
      </c>
      <c r="J13" s="171">
        <v>39</v>
      </c>
      <c r="K13" s="171">
        <f t="shared" si="1"/>
        <v>68.25</v>
      </c>
      <c r="L13" s="169"/>
      <c r="M13" s="170"/>
      <c r="N13" s="171">
        <v>0</v>
      </c>
      <c r="O13" s="171">
        <f t="shared" si="2"/>
        <v>0</v>
      </c>
      <c r="P13" s="182"/>
      <c r="Q13" s="170"/>
      <c r="R13" s="183">
        <v>0</v>
      </c>
      <c r="S13" s="184">
        <f t="shared" si="3"/>
        <v>0</v>
      </c>
      <c r="T13" s="185"/>
      <c r="U13" s="134">
        <f t="shared" si="0"/>
        <v>0</v>
      </c>
    </row>
    <row r="14" spans="1:21" ht="40.5">
      <c r="A14" s="177" t="s">
        <v>11</v>
      </c>
      <c r="B14" s="178">
        <v>1</v>
      </c>
      <c r="C14" s="178">
        <v>3</v>
      </c>
      <c r="D14" s="179"/>
      <c r="E14" s="186" t="s">
        <v>419</v>
      </c>
      <c r="F14" s="180" t="s">
        <v>36</v>
      </c>
      <c r="G14" s="181">
        <v>26.060000000000002</v>
      </c>
      <c r="H14" s="169" t="s">
        <v>129</v>
      </c>
      <c r="I14" s="170">
        <f>ROUNDUP(G14/1,0)</f>
        <v>27</v>
      </c>
      <c r="J14" s="171">
        <v>26</v>
      </c>
      <c r="K14" s="171">
        <f t="shared" si="1"/>
        <v>87.75</v>
      </c>
      <c r="L14" s="169" t="s">
        <v>131</v>
      </c>
      <c r="M14" s="170">
        <f>Q14*0.7</f>
        <v>14.5936</v>
      </c>
      <c r="N14" s="171">
        <v>5.41</v>
      </c>
      <c r="O14" s="171">
        <f t="shared" si="2"/>
        <v>78.95137600000001</v>
      </c>
      <c r="P14" s="182" t="s">
        <v>132</v>
      </c>
      <c r="Q14" s="170">
        <f>G14*0.8</f>
        <v>20.848000000000003</v>
      </c>
      <c r="R14" s="183">
        <v>7</v>
      </c>
      <c r="S14" s="184">
        <f t="shared" si="3"/>
        <v>145.936</v>
      </c>
      <c r="T14" s="185">
        <f>(SUM(K14:K16,O14:O16,S14:S16)/G14)*1.02</f>
        <v>13.000004739831159</v>
      </c>
      <c r="U14" s="134">
        <f t="shared" si="0"/>
        <v>338.78012352</v>
      </c>
    </row>
    <row r="15" spans="1:21" ht="15.75">
      <c r="A15" s="177"/>
      <c r="B15" s="178"/>
      <c r="C15" s="178"/>
      <c r="D15" s="179"/>
      <c r="E15" s="186"/>
      <c r="F15" s="180"/>
      <c r="G15" s="181"/>
      <c r="H15" s="169" t="s">
        <v>130</v>
      </c>
      <c r="I15" s="170">
        <f>ROUNDUP(G14/20,0)</f>
        <v>2</v>
      </c>
      <c r="J15" s="171">
        <v>39</v>
      </c>
      <c r="K15" s="171">
        <f t="shared" si="1"/>
        <v>9.75</v>
      </c>
      <c r="L15" s="169"/>
      <c r="M15" s="170"/>
      <c r="N15" s="171">
        <v>0</v>
      </c>
      <c r="O15" s="171">
        <f t="shared" si="2"/>
        <v>0</v>
      </c>
      <c r="P15" s="182"/>
      <c r="Q15" s="170"/>
      <c r="R15" s="183">
        <v>0</v>
      </c>
      <c r="S15" s="184">
        <f t="shared" si="3"/>
        <v>0</v>
      </c>
      <c r="T15" s="185"/>
      <c r="U15" s="134">
        <f t="shared" si="0"/>
        <v>0</v>
      </c>
    </row>
    <row r="16" spans="1:21" ht="15.75">
      <c r="A16" s="177"/>
      <c r="B16" s="178"/>
      <c r="C16" s="178"/>
      <c r="D16" s="179"/>
      <c r="E16" s="186"/>
      <c r="F16" s="180"/>
      <c r="G16" s="181"/>
      <c r="H16" s="169" t="s">
        <v>133</v>
      </c>
      <c r="I16" s="170">
        <f>ROUNDUP(G14/20,0)</f>
        <v>2</v>
      </c>
      <c r="J16" s="171">
        <v>39</v>
      </c>
      <c r="K16" s="171">
        <f t="shared" si="1"/>
        <v>9.75</v>
      </c>
      <c r="L16" s="169"/>
      <c r="M16" s="170"/>
      <c r="N16" s="171">
        <v>0</v>
      </c>
      <c r="O16" s="171">
        <f t="shared" si="2"/>
        <v>0</v>
      </c>
      <c r="P16" s="182"/>
      <c r="Q16" s="170"/>
      <c r="R16" s="183">
        <v>0</v>
      </c>
      <c r="S16" s="184">
        <f t="shared" si="3"/>
        <v>0</v>
      </c>
      <c r="T16" s="185"/>
      <c r="U16" s="134">
        <f t="shared" si="0"/>
        <v>0</v>
      </c>
    </row>
    <row r="17" spans="1:21" ht="27.75">
      <c r="A17" s="177" t="s">
        <v>11</v>
      </c>
      <c r="B17" s="178">
        <v>1</v>
      </c>
      <c r="C17" s="178">
        <v>4</v>
      </c>
      <c r="D17" s="179"/>
      <c r="E17" s="187" t="s">
        <v>420</v>
      </c>
      <c r="F17" s="180" t="s">
        <v>35</v>
      </c>
      <c r="G17" s="181">
        <v>130.29</v>
      </c>
      <c r="H17" s="169" t="s">
        <v>129</v>
      </c>
      <c r="I17" s="170">
        <f>ROUNDUP(G17/1.5,0)</f>
        <v>87</v>
      </c>
      <c r="J17" s="171">
        <v>26</v>
      </c>
      <c r="K17" s="171">
        <f t="shared" si="1"/>
        <v>282.75</v>
      </c>
      <c r="L17" s="169" t="s">
        <v>134</v>
      </c>
      <c r="M17" s="170">
        <f>G17*0.35</f>
        <v>45.601499999999994</v>
      </c>
      <c r="N17" s="171">
        <v>80</v>
      </c>
      <c r="O17" s="171">
        <f t="shared" si="2"/>
        <v>3648.1199999999994</v>
      </c>
      <c r="P17" s="182"/>
      <c r="Q17" s="170"/>
      <c r="R17" s="183">
        <v>0</v>
      </c>
      <c r="S17" s="184">
        <f t="shared" si="3"/>
        <v>0</v>
      </c>
      <c r="T17" s="185">
        <f>(SUM(K17:K19,O17:O19,S17:S19)/G17)*1.02</f>
        <v>32.03300253281142</v>
      </c>
      <c r="U17" s="134">
        <f t="shared" si="0"/>
        <v>4173.5799</v>
      </c>
    </row>
    <row r="18" spans="1:21" ht="15.75">
      <c r="A18" s="177"/>
      <c r="B18" s="178"/>
      <c r="C18" s="178"/>
      <c r="D18" s="179"/>
      <c r="E18" s="187"/>
      <c r="F18" s="180"/>
      <c r="G18" s="181"/>
      <c r="H18" s="169" t="s">
        <v>130</v>
      </c>
      <c r="I18" s="170">
        <f>ROUNDUP(G17/15,0)</f>
        <v>9</v>
      </c>
      <c r="J18" s="171">
        <v>39</v>
      </c>
      <c r="K18" s="171">
        <f t="shared" si="1"/>
        <v>43.875</v>
      </c>
      <c r="L18" s="169"/>
      <c r="M18" s="170"/>
      <c r="N18" s="171">
        <v>0</v>
      </c>
      <c r="O18" s="171">
        <f t="shared" si="2"/>
        <v>0</v>
      </c>
      <c r="P18" s="182"/>
      <c r="Q18" s="170"/>
      <c r="R18" s="183">
        <v>0</v>
      </c>
      <c r="S18" s="184">
        <f t="shared" si="3"/>
        <v>0</v>
      </c>
      <c r="T18" s="185"/>
      <c r="U18" s="134">
        <f t="shared" si="0"/>
        <v>0</v>
      </c>
    </row>
    <row r="19" spans="1:21" ht="15.75">
      <c r="A19" s="177"/>
      <c r="B19" s="178"/>
      <c r="C19" s="178"/>
      <c r="D19" s="179"/>
      <c r="E19" s="187"/>
      <c r="F19" s="180"/>
      <c r="G19" s="181"/>
      <c r="H19" s="169" t="s">
        <v>135</v>
      </c>
      <c r="I19" s="170">
        <f>ROUNDUP(G17/7.5,0)</f>
        <v>18</v>
      </c>
      <c r="J19" s="171">
        <v>52</v>
      </c>
      <c r="K19" s="171">
        <f t="shared" si="1"/>
        <v>117</v>
      </c>
      <c r="L19" s="169"/>
      <c r="M19" s="170"/>
      <c r="N19" s="171">
        <v>0</v>
      </c>
      <c r="O19" s="171">
        <f t="shared" si="2"/>
        <v>0</v>
      </c>
      <c r="P19" s="182"/>
      <c r="Q19" s="170"/>
      <c r="R19" s="183">
        <v>0</v>
      </c>
      <c r="S19" s="184">
        <f t="shared" si="3"/>
        <v>0</v>
      </c>
      <c r="T19" s="188"/>
      <c r="U19" s="134">
        <f t="shared" si="0"/>
        <v>0</v>
      </c>
    </row>
    <row r="20" spans="1:21" s="109" customFormat="1" ht="15.75">
      <c r="A20" s="163" t="s">
        <v>11</v>
      </c>
      <c r="B20" s="164">
        <v>1</v>
      </c>
      <c r="C20" s="164"/>
      <c r="D20" s="165"/>
      <c r="E20" s="189" t="s">
        <v>37</v>
      </c>
      <c r="F20" s="167"/>
      <c r="G20" s="181">
        <v>0</v>
      </c>
      <c r="H20" s="169"/>
      <c r="I20" s="170"/>
      <c r="J20" s="171">
        <v>0</v>
      </c>
      <c r="K20" s="171">
        <f t="shared" si="1"/>
        <v>0</v>
      </c>
      <c r="L20" s="169"/>
      <c r="M20" s="170"/>
      <c r="N20" s="171">
        <v>0</v>
      </c>
      <c r="O20" s="171">
        <f t="shared" si="2"/>
        <v>0</v>
      </c>
      <c r="P20" s="172"/>
      <c r="Q20" s="173"/>
      <c r="R20" s="183">
        <v>0</v>
      </c>
      <c r="S20" s="184">
        <f t="shared" si="3"/>
        <v>0</v>
      </c>
      <c r="T20" s="185"/>
      <c r="U20" s="134">
        <f t="shared" si="0"/>
        <v>0</v>
      </c>
    </row>
    <row r="21" spans="1:21" s="109" customFormat="1" ht="15.75">
      <c r="A21" s="163" t="s">
        <v>11</v>
      </c>
      <c r="B21" s="164">
        <v>2</v>
      </c>
      <c r="C21" s="164"/>
      <c r="D21" s="165"/>
      <c r="E21" s="186" t="s">
        <v>38</v>
      </c>
      <c r="F21" s="167"/>
      <c r="G21" s="181">
        <v>0</v>
      </c>
      <c r="H21" s="169"/>
      <c r="I21" s="170"/>
      <c r="J21" s="171">
        <v>0</v>
      </c>
      <c r="K21" s="171">
        <f t="shared" si="1"/>
        <v>0</v>
      </c>
      <c r="L21" s="169"/>
      <c r="M21" s="170"/>
      <c r="N21" s="171">
        <v>0</v>
      </c>
      <c r="O21" s="171">
        <f t="shared" si="2"/>
        <v>0</v>
      </c>
      <c r="P21" s="172"/>
      <c r="Q21" s="173"/>
      <c r="R21" s="183">
        <v>0</v>
      </c>
      <c r="S21" s="184">
        <f t="shared" si="3"/>
        <v>0</v>
      </c>
      <c r="T21" s="185"/>
      <c r="U21" s="134">
        <f t="shared" si="0"/>
        <v>0</v>
      </c>
    </row>
    <row r="22" spans="1:21" ht="15.75">
      <c r="A22" s="177" t="s">
        <v>11</v>
      </c>
      <c r="B22" s="178">
        <v>2</v>
      </c>
      <c r="C22" s="178">
        <v>1</v>
      </c>
      <c r="D22" s="179"/>
      <c r="E22" s="187" t="s">
        <v>39</v>
      </c>
      <c r="F22" s="180"/>
      <c r="G22" s="181">
        <v>0</v>
      </c>
      <c r="H22" s="169"/>
      <c r="I22" s="170"/>
      <c r="J22" s="171">
        <v>0</v>
      </c>
      <c r="K22" s="171">
        <f t="shared" si="1"/>
        <v>0</v>
      </c>
      <c r="L22" s="169"/>
      <c r="M22" s="170"/>
      <c r="N22" s="171">
        <v>0</v>
      </c>
      <c r="O22" s="171">
        <f t="shared" si="2"/>
        <v>0</v>
      </c>
      <c r="P22" s="182"/>
      <c r="Q22" s="170"/>
      <c r="R22" s="183">
        <v>0</v>
      </c>
      <c r="S22" s="184">
        <f t="shared" si="3"/>
        <v>0</v>
      </c>
      <c r="T22" s="176"/>
      <c r="U22" s="134">
        <f t="shared" si="0"/>
        <v>0</v>
      </c>
    </row>
    <row r="23" spans="1:21" ht="15.75">
      <c r="A23" s="177" t="s">
        <v>11</v>
      </c>
      <c r="B23" s="178">
        <v>2</v>
      </c>
      <c r="C23" s="178">
        <v>1</v>
      </c>
      <c r="D23" s="179">
        <v>1</v>
      </c>
      <c r="E23" s="187" t="s">
        <v>40</v>
      </c>
      <c r="F23" s="180" t="s">
        <v>35</v>
      </c>
      <c r="G23" s="181">
        <v>27.06</v>
      </c>
      <c r="H23" s="169" t="s">
        <v>129</v>
      </c>
      <c r="I23" s="170">
        <f>ROUNDUP(G23/0.6,0)</f>
        <v>46</v>
      </c>
      <c r="J23" s="171">
        <v>26</v>
      </c>
      <c r="K23" s="171">
        <f t="shared" si="1"/>
        <v>149.5</v>
      </c>
      <c r="L23" s="169" t="s">
        <v>136</v>
      </c>
      <c r="M23" s="170">
        <f>ROUNDUP($G$23*0.08,0)</f>
        <v>3</v>
      </c>
      <c r="N23" s="171">
        <v>174.77097826086958</v>
      </c>
      <c r="O23" s="171">
        <f t="shared" si="2"/>
        <v>524.3129347826087</v>
      </c>
      <c r="P23" s="182" t="s">
        <v>137</v>
      </c>
      <c r="Q23" s="170">
        <f>ROUNDUP(G23*0.08,0)</f>
        <v>3</v>
      </c>
      <c r="R23" s="183">
        <v>30</v>
      </c>
      <c r="S23" s="184">
        <f t="shared" si="3"/>
        <v>90</v>
      </c>
      <c r="T23" s="185">
        <f>(SUM(K23:K26,O23:O26,S23:S26)/G23)*1.02</f>
        <v>54.11891328448859</v>
      </c>
      <c r="U23" s="134">
        <f t="shared" si="0"/>
        <v>1464.4577934782612</v>
      </c>
    </row>
    <row r="24" spans="1:21" ht="15.75">
      <c r="A24" s="177"/>
      <c r="B24" s="178"/>
      <c r="C24" s="178"/>
      <c r="D24" s="179"/>
      <c r="E24" s="187"/>
      <c r="F24" s="180"/>
      <c r="G24" s="181"/>
      <c r="H24" s="169" t="s">
        <v>130</v>
      </c>
      <c r="I24" s="170">
        <f>ROUNDUP(G23/12,0)</f>
        <v>3</v>
      </c>
      <c r="J24" s="171">
        <v>39</v>
      </c>
      <c r="K24" s="171">
        <f t="shared" si="1"/>
        <v>14.625</v>
      </c>
      <c r="L24" s="169" t="s">
        <v>138</v>
      </c>
      <c r="M24" s="170">
        <f>ROUNDUP($G$23*0.05,0)</f>
        <v>2</v>
      </c>
      <c r="N24" s="171">
        <v>262.385</v>
      </c>
      <c r="O24" s="171">
        <f t="shared" si="2"/>
        <v>524.77</v>
      </c>
      <c r="P24" s="182"/>
      <c r="Q24" s="170"/>
      <c r="R24" s="183">
        <v>0</v>
      </c>
      <c r="S24" s="184">
        <f t="shared" si="3"/>
        <v>0</v>
      </c>
      <c r="T24" s="185"/>
      <c r="U24" s="134">
        <f t="shared" si="0"/>
        <v>0</v>
      </c>
    </row>
    <row r="25" spans="1:21" ht="15.75">
      <c r="A25" s="177"/>
      <c r="B25" s="178"/>
      <c r="C25" s="178"/>
      <c r="D25" s="179"/>
      <c r="E25" s="187"/>
      <c r="F25" s="180"/>
      <c r="G25" s="181"/>
      <c r="H25" s="169" t="s">
        <v>135</v>
      </c>
      <c r="I25" s="170">
        <f>ROUNDUP(G23/6,0)</f>
        <v>5</v>
      </c>
      <c r="J25" s="171">
        <v>52</v>
      </c>
      <c r="K25" s="171">
        <f t="shared" si="1"/>
        <v>32.5</v>
      </c>
      <c r="L25" s="169" t="s">
        <v>139</v>
      </c>
      <c r="M25" s="170">
        <f>ROUNDUP($G$23*0.02,0)</f>
        <v>1</v>
      </c>
      <c r="N25" s="171">
        <v>80</v>
      </c>
      <c r="O25" s="171">
        <f t="shared" si="2"/>
        <v>80</v>
      </c>
      <c r="P25" s="182"/>
      <c r="Q25" s="170"/>
      <c r="R25" s="183">
        <v>0</v>
      </c>
      <c r="S25" s="184">
        <f t="shared" si="3"/>
        <v>0</v>
      </c>
      <c r="T25" s="188"/>
      <c r="U25" s="134">
        <f t="shared" si="0"/>
        <v>0</v>
      </c>
    </row>
    <row r="26" spans="1:21" ht="15.75">
      <c r="A26" s="177"/>
      <c r="B26" s="178"/>
      <c r="C26" s="178"/>
      <c r="D26" s="179"/>
      <c r="E26" s="187"/>
      <c r="F26" s="180"/>
      <c r="G26" s="181"/>
      <c r="H26" s="169" t="s">
        <v>133</v>
      </c>
      <c r="I26" s="170">
        <f>ROUNDUP(G23/12,0)</f>
        <v>3</v>
      </c>
      <c r="J26" s="171">
        <v>39</v>
      </c>
      <c r="K26" s="171">
        <f t="shared" si="1"/>
        <v>14.625</v>
      </c>
      <c r="L26" s="169" t="s">
        <v>131</v>
      </c>
      <c r="M26" s="170">
        <f>ROUNDUP(Q23*0.08,0)</f>
        <v>1</v>
      </c>
      <c r="N26" s="171">
        <v>5.41</v>
      </c>
      <c r="O26" s="171">
        <f t="shared" si="2"/>
        <v>5.41</v>
      </c>
      <c r="P26" s="182"/>
      <c r="Q26" s="170"/>
      <c r="R26" s="183">
        <v>0</v>
      </c>
      <c r="S26" s="184">
        <f t="shared" si="3"/>
        <v>0</v>
      </c>
      <c r="T26" s="185"/>
      <c r="U26" s="134">
        <f t="shared" si="0"/>
        <v>0</v>
      </c>
    </row>
    <row r="27" spans="1:21" ht="40.5">
      <c r="A27" s="177" t="s">
        <v>11</v>
      </c>
      <c r="B27" s="178">
        <v>2</v>
      </c>
      <c r="C27" s="178">
        <v>2</v>
      </c>
      <c r="D27" s="179"/>
      <c r="E27" s="166" t="s">
        <v>421</v>
      </c>
      <c r="F27" s="180"/>
      <c r="G27" s="181">
        <v>0</v>
      </c>
      <c r="H27" s="169"/>
      <c r="I27" s="170"/>
      <c r="J27" s="171">
        <v>0</v>
      </c>
      <c r="K27" s="171">
        <f t="shared" si="1"/>
        <v>0</v>
      </c>
      <c r="L27" s="169"/>
      <c r="M27" s="170"/>
      <c r="N27" s="171">
        <v>0</v>
      </c>
      <c r="O27" s="171">
        <f t="shared" si="2"/>
        <v>0</v>
      </c>
      <c r="P27" s="182"/>
      <c r="Q27" s="170"/>
      <c r="R27" s="183">
        <v>0</v>
      </c>
      <c r="S27" s="184">
        <f t="shared" si="3"/>
        <v>0</v>
      </c>
      <c r="T27" s="185"/>
      <c r="U27" s="134">
        <f t="shared" si="0"/>
        <v>0</v>
      </c>
    </row>
    <row r="28" spans="1:21" ht="15.75">
      <c r="A28" s="177" t="s">
        <v>11</v>
      </c>
      <c r="B28" s="178">
        <v>2</v>
      </c>
      <c r="C28" s="178">
        <v>2</v>
      </c>
      <c r="D28" s="179">
        <v>1</v>
      </c>
      <c r="E28" s="187" t="s">
        <v>41</v>
      </c>
      <c r="F28" s="180" t="s">
        <v>36</v>
      </c>
      <c r="G28" s="181">
        <v>5.6899999999999995</v>
      </c>
      <c r="H28" s="169" t="s">
        <v>129</v>
      </c>
      <c r="I28" s="170">
        <f>ROUNDUP(G28*14,0)</f>
        <v>80</v>
      </c>
      <c r="J28" s="171">
        <v>26</v>
      </c>
      <c r="K28" s="171">
        <f t="shared" si="1"/>
        <v>260</v>
      </c>
      <c r="L28" s="169" t="s">
        <v>136</v>
      </c>
      <c r="M28" s="170">
        <f>($G$28*4)</f>
        <v>22.759999999999998</v>
      </c>
      <c r="N28" s="171">
        <v>174.77097826086958</v>
      </c>
      <c r="O28" s="171">
        <f t="shared" si="2"/>
        <v>3977.7874652173914</v>
      </c>
      <c r="P28" s="182" t="s">
        <v>137</v>
      </c>
      <c r="Q28" s="170">
        <f>ROUNDUP(G28*0.4,0)</f>
        <v>3</v>
      </c>
      <c r="R28" s="183">
        <v>30</v>
      </c>
      <c r="S28" s="184">
        <f t="shared" si="3"/>
        <v>90</v>
      </c>
      <c r="T28" s="185">
        <f>(SUM(K28:K31,O28:O31,S28:S31)/G28)*1.02</f>
        <v>1044.6272765662106</v>
      </c>
      <c r="U28" s="134">
        <f t="shared" si="0"/>
        <v>5943.929203661738</v>
      </c>
    </row>
    <row r="29" spans="1:21" ht="15.75">
      <c r="A29" s="177"/>
      <c r="B29" s="178"/>
      <c r="C29" s="178"/>
      <c r="D29" s="179"/>
      <c r="E29" s="187"/>
      <c r="F29" s="180"/>
      <c r="G29" s="181"/>
      <c r="H29" s="169" t="s">
        <v>130</v>
      </c>
      <c r="I29" s="170">
        <f>ROUNDUP(G28*0.4,0)</f>
        <v>3</v>
      </c>
      <c r="J29" s="171">
        <v>39</v>
      </c>
      <c r="K29" s="171">
        <f t="shared" si="1"/>
        <v>14.625</v>
      </c>
      <c r="L29" s="169" t="s">
        <v>138</v>
      </c>
      <c r="M29" s="170">
        <f>$G$28*0.78</f>
        <v>4.4382</v>
      </c>
      <c r="N29" s="171">
        <v>262.385</v>
      </c>
      <c r="O29" s="171">
        <f t="shared" si="2"/>
        <v>1164.517107</v>
      </c>
      <c r="P29" s="182" t="s">
        <v>140</v>
      </c>
      <c r="Q29" s="170">
        <f>ROUNDUP(G28*0.8,0)</f>
        <v>5</v>
      </c>
      <c r="R29" s="183">
        <v>7</v>
      </c>
      <c r="S29" s="184">
        <f t="shared" si="3"/>
        <v>35</v>
      </c>
      <c r="T29" s="185"/>
      <c r="U29" s="134">
        <f t="shared" si="0"/>
        <v>0</v>
      </c>
    </row>
    <row r="30" spans="1:21" ht="15.75">
      <c r="A30" s="177"/>
      <c r="B30" s="178"/>
      <c r="C30" s="178"/>
      <c r="D30" s="179"/>
      <c r="E30" s="187"/>
      <c r="F30" s="180"/>
      <c r="G30" s="181"/>
      <c r="H30" s="169" t="s">
        <v>135</v>
      </c>
      <c r="I30" s="170">
        <f>ROUNDUP(G28*0.8,0)</f>
        <v>5</v>
      </c>
      <c r="J30" s="171">
        <v>52</v>
      </c>
      <c r="K30" s="171">
        <f t="shared" si="1"/>
        <v>32.5</v>
      </c>
      <c r="L30" s="169" t="s">
        <v>139</v>
      </c>
      <c r="M30" s="170">
        <f>$G$28*0.52</f>
        <v>2.9587999999999997</v>
      </c>
      <c r="N30" s="171">
        <v>80</v>
      </c>
      <c r="O30" s="171">
        <f t="shared" si="2"/>
        <v>236.70399999999998</v>
      </c>
      <c r="P30" s="182"/>
      <c r="Q30" s="170"/>
      <c r="R30" s="183">
        <v>0</v>
      </c>
      <c r="S30" s="184">
        <f t="shared" si="3"/>
        <v>0</v>
      </c>
      <c r="T30" s="188"/>
      <c r="U30" s="134">
        <f t="shared" si="0"/>
        <v>0</v>
      </c>
    </row>
    <row r="31" spans="1:21" ht="15.75">
      <c r="A31" s="177"/>
      <c r="B31" s="178"/>
      <c r="C31" s="178"/>
      <c r="D31" s="179"/>
      <c r="E31" s="187"/>
      <c r="F31" s="180"/>
      <c r="G31" s="181"/>
      <c r="H31" s="169" t="s">
        <v>133</v>
      </c>
      <c r="I31" s="170">
        <f>ROUNDUP(G28*0.4,0)</f>
        <v>3</v>
      </c>
      <c r="J31" s="171">
        <v>39</v>
      </c>
      <c r="K31" s="171">
        <f t="shared" si="1"/>
        <v>14.625</v>
      </c>
      <c r="L31" s="169" t="s">
        <v>131</v>
      </c>
      <c r="M31" s="170">
        <f>(Q28*0.1)</f>
        <v>0.30000000000000004</v>
      </c>
      <c r="N31" s="171">
        <v>5.41</v>
      </c>
      <c r="O31" s="171">
        <f t="shared" si="2"/>
        <v>1.6230000000000002</v>
      </c>
      <c r="P31" s="182"/>
      <c r="Q31" s="170"/>
      <c r="R31" s="183">
        <v>0</v>
      </c>
      <c r="S31" s="184">
        <f t="shared" si="3"/>
        <v>0</v>
      </c>
      <c r="T31" s="185"/>
      <c r="U31" s="134">
        <f t="shared" si="0"/>
        <v>0</v>
      </c>
    </row>
    <row r="32" spans="1:21" ht="40.5">
      <c r="A32" s="177" t="s">
        <v>11</v>
      </c>
      <c r="B32" s="178">
        <v>2</v>
      </c>
      <c r="C32" s="178">
        <v>3</v>
      </c>
      <c r="D32" s="179"/>
      <c r="E32" s="166" t="s">
        <v>422</v>
      </c>
      <c r="F32" s="180"/>
      <c r="G32" s="181">
        <v>0</v>
      </c>
      <c r="H32" s="169"/>
      <c r="I32" s="170"/>
      <c r="J32" s="171">
        <v>0</v>
      </c>
      <c r="K32" s="171">
        <f t="shared" si="1"/>
        <v>0</v>
      </c>
      <c r="L32" s="169"/>
      <c r="M32" s="170"/>
      <c r="N32" s="171">
        <v>0</v>
      </c>
      <c r="O32" s="171">
        <f t="shared" si="2"/>
        <v>0</v>
      </c>
      <c r="P32" s="182"/>
      <c r="Q32" s="170"/>
      <c r="R32" s="183">
        <v>0</v>
      </c>
      <c r="S32" s="184">
        <f t="shared" si="3"/>
        <v>0</v>
      </c>
      <c r="T32" s="185"/>
      <c r="U32" s="134">
        <f t="shared" si="0"/>
        <v>0</v>
      </c>
    </row>
    <row r="33" spans="1:21" ht="15.75">
      <c r="A33" s="177" t="s">
        <v>11</v>
      </c>
      <c r="B33" s="178">
        <v>2</v>
      </c>
      <c r="C33" s="178">
        <v>3</v>
      </c>
      <c r="D33" s="179">
        <v>1</v>
      </c>
      <c r="E33" s="187" t="s">
        <v>42</v>
      </c>
      <c r="F33" s="180" t="s">
        <v>35</v>
      </c>
      <c r="G33" s="181">
        <v>161.68</v>
      </c>
      <c r="H33" s="169" t="s">
        <v>129</v>
      </c>
      <c r="I33" s="170">
        <f>ROUNDUP(G33*5.83,0)</f>
        <v>943</v>
      </c>
      <c r="J33" s="171">
        <v>26</v>
      </c>
      <c r="K33" s="171">
        <f t="shared" si="1"/>
        <v>3064.75</v>
      </c>
      <c r="L33" s="169" t="s">
        <v>136</v>
      </c>
      <c r="M33" s="170">
        <f>($G$33*0.35)</f>
        <v>56.588</v>
      </c>
      <c r="N33" s="171">
        <v>174.77097826086958</v>
      </c>
      <c r="O33" s="171">
        <f t="shared" si="2"/>
        <v>9889.940117826089</v>
      </c>
      <c r="P33" s="182" t="s">
        <v>137</v>
      </c>
      <c r="Q33" s="170">
        <f>ROUNDUP(G33*0.4,0)</f>
        <v>65</v>
      </c>
      <c r="R33" s="183">
        <v>30</v>
      </c>
      <c r="S33" s="184">
        <f t="shared" si="3"/>
        <v>1950</v>
      </c>
      <c r="T33" s="185">
        <f>(SUM(K33:L36,O33:O36,S33:S36)/G33)*1.02</f>
        <v>129.46118886109977</v>
      </c>
      <c r="U33" s="134">
        <f t="shared" si="0"/>
        <v>20931.28501506261</v>
      </c>
    </row>
    <row r="34" spans="1:21" ht="15.75">
      <c r="A34" s="177"/>
      <c r="B34" s="178"/>
      <c r="C34" s="178"/>
      <c r="D34" s="179"/>
      <c r="E34" s="187"/>
      <c r="F34" s="180"/>
      <c r="G34" s="181"/>
      <c r="H34" s="169" t="s">
        <v>130</v>
      </c>
      <c r="I34" s="170">
        <f>ROUNDUP(G33*0.17,0)</f>
        <v>28</v>
      </c>
      <c r="J34" s="171">
        <v>39</v>
      </c>
      <c r="K34" s="171">
        <f t="shared" si="1"/>
        <v>136.5</v>
      </c>
      <c r="L34" s="169" t="s">
        <v>138</v>
      </c>
      <c r="M34" s="170">
        <f>($G$33*0.08)</f>
        <v>12.9344</v>
      </c>
      <c r="N34" s="171">
        <v>262.385</v>
      </c>
      <c r="O34" s="171">
        <f t="shared" si="2"/>
        <v>3393.792544</v>
      </c>
      <c r="P34" s="182" t="s">
        <v>140</v>
      </c>
      <c r="Q34" s="170">
        <f>ROUNDUP(G33*0.8,0)</f>
        <v>130</v>
      </c>
      <c r="R34" s="183">
        <v>7</v>
      </c>
      <c r="S34" s="184">
        <f t="shared" si="3"/>
        <v>910</v>
      </c>
      <c r="T34" s="185"/>
      <c r="U34" s="134">
        <f t="shared" si="0"/>
        <v>0</v>
      </c>
    </row>
    <row r="35" spans="1:21" ht="15.75">
      <c r="A35" s="177"/>
      <c r="B35" s="178"/>
      <c r="C35" s="178"/>
      <c r="D35" s="179"/>
      <c r="E35" s="187"/>
      <c r="F35" s="180"/>
      <c r="G35" s="181"/>
      <c r="H35" s="169" t="s">
        <v>135</v>
      </c>
      <c r="I35" s="170">
        <f>ROUNDUP(G33*0.34,0)</f>
        <v>55</v>
      </c>
      <c r="J35" s="171">
        <v>52</v>
      </c>
      <c r="K35" s="171">
        <f t="shared" si="1"/>
        <v>357.5</v>
      </c>
      <c r="L35" s="169" t="s">
        <v>139</v>
      </c>
      <c r="M35" s="170">
        <f>($G$33*0.05)</f>
        <v>8.084000000000001</v>
      </c>
      <c r="N35" s="171">
        <v>80</v>
      </c>
      <c r="O35" s="171">
        <f t="shared" si="2"/>
        <v>646.7200000000001</v>
      </c>
      <c r="P35" s="182"/>
      <c r="Q35" s="170"/>
      <c r="R35" s="183">
        <v>0</v>
      </c>
      <c r="S35" s="184">
        <f t="shared" si="3"/>
        <v>0</v>
      </c>
      <c r="T35" s="188"/>
      <c r="U35" s="134">
        <f t="shared" si="0"/>
        <v>0</v>
      </c>
    </row>
    <row r="36" spans="1:21" ht="15.75">
      <c r="A36" s="177"/>
      <c r="B36" s="178"/>
      <c r="C36" s="178"/>
      <c r="D36" s="179"/>
      <c r="E36" s="187"/>
      <c r="F36" s="180"/>
      <c r="G36" s="181"/>
      <c r="H36" s="169" t="s">
        <v>133</v>
      </c>
      <c r="I36" s="170">
        <f>ROUNDUP(G33*0.17,0)</f>
        <v>28</v>
      </c>
      <c r="J36" s="171">
        <v>39</v>
      </c>
      <c r="K36" s="171">
        <f t="shared" si="1"/>
        <v>136.5</v>
      </c>
      <c r="L36" s="169" t="s">
        <v>131</v>
      </c>
      <c r="M36" s="170">
        <f>(Q33*0.1)</f>
        <v>6.5</v>
      </c>
      <c r="N36" s="171">
        <v>5.41</v>
      </c>
      <c r="O36" s="171">
        <f t="shared" si="2"/>
        <v>35.165</v>
      </c>
      <c r="P36" s="182"/>
      <c r="Q36" s="170"/>
      <c r="R36" s="183">
        <v>0</v>
      </c>
      <c r="S36" s="184">
        <f t="shared" si="3"/>
        <v>0</v>
      </c>
      <c r="T36" s="185"/>
      <c r="U36" s="134">
        <f t="shared" si="0"/>
        <v>0</v>
      </c>
    </row>
    <row r="37" spans="1:21" ht="15.75">
      <c r="A37" s="163" t="s">
        <v>11</v>
      </c>
      <c r="B37" s="164">
        <v>2</v>
      </c>
      <c r="C37" s="164">
        <v>4</v>
      </c>
      <c r="D37" s="165"/>
      <c r="E37" s="190" t="s">
        <v>43</v>
      </c>
      <c r="F37" s="180"/>
      <c r="G37" s="181">
        <v>0</v>
      </c>
      <c r="H37" s="169"/>
      <c r="I37" s="170"/>
      <c r="J37" s="171">
        <v>0</v>
      </c>
      <c r="K37" s="171">
        <f t="shared" si="1"/>
        <v>0</v>
      </c>
      <c r="L37" s="169"/>
      <c r="M37" s="170"/>
      <c r="N37" s="171">
        <v>0</v>
      </c>
      <c r="O37" s="171">
        <f t="shared" si="2"/>
        <v>0</v>
      </c>
      <c r="P37" s="182"/>
      <c r="Q37" s="170"/>
      <c r="R37" s="183">
        <v>0</v>
      </c>
      <c r="S37" s="184">
        <f t="shared" si="3"/>
        <v>0</v>
      </c>
      <c r="T37" s="185"/>
      <c r="U37" s="134">
        <f t="shared" si="0"/>
        <v>0</v>
      </c>
    </row>
    <row r="38" spans="1:21" ht="40.5">
      <c r="A38" s="177" t="s">
        <v>11</v>
      </c>
      <c r="B38" s="178">
        <v>2</v>
      </c>
      <c r="C38" s="178">
        <v>4</v>
      </c>
      <c r="D38" s="179"/>
      <c r="E38" s="191" t="s">
        <v>44</v>
      </c>
      <c r="F38" s="180"/>
      <c r="G38" s="181">
        <v>0</v>
      </c>
      <c r="H38" s="169"/>
      <c r="I38" s="170"/>
      <c r="J38" s="171">
        <v>0</v>
      </c>
      <c r="K38" s="171">
        <f t="shared" si="1"/>
        <v>0</v>
      </c>
      <c r="L38" s="169"/>
      <c r="M38" s="170"/>
      <c r="N38" s="171">
        <v>0</v>
      </c>
      <c r="O38" s="171">
        <f t="shared" si="2"/>
        <v>0</v>
      </c>
      <c r="P38" s="182"/>
      <c r="Q38" s="170"/>
      <c r="R38" s="183">
        <v>0</v>
      </c>
      <c r="S38" s="184">
        <f t="shared" si="3"/>
        <v>0</v>
      </c>
      <c r="T38" s="185"/>
      <c r="U38" s="134">
        <f t="shared" si="0"/>
        <v>0</v>
      </c>
    </row>
    <row r="39" spans="1:21" ht="15.75">
      <c r="A39" s="177" t="s">
        <v>11</v>
      </c>
      <c r="B39" s="178">
        <v>2</v>
      </c>
      <c r="C39" s="178">
        <v>4</v>
      </c>
      <c r="D39" s="179">
        <v>1</v>
      </c>
      <c r="E39" s="187" t="s">
        <v>290</v>
      </c>
      <c r="F39" s="180" t="s">
        <v>35</v>
      </c>
      <c r="G39" s="181">
        <v>55.959999999999994</v>
      </c>
      <c r="H39" s="169" t="s">
        <v>129</v>
      </c>
      <c r="I39" s="170">
        <f>ROUNDUP($G$39*1,0)</f>
        <v>56</v>
      </c>
      <c r="J39" s="171">
        <v>26</v>
      </c>
      <c r="K39" s="171">
        <f t="shared" si="1"/>
        <v>182</v>
      </c>
      <c r="L39" s="169" t="s">
        <v>141</v>
      </c>
      <c r="M39" s="170">
        <f>G39*8</f>
        <v>447.67999999999995</v>
      </c>
      <c r="N39" s="171">
        <v>0.1</v>
      </c>
      <c r="O39" s="171">
        <f t="shared" si="2"/>
        <v>44.768</v>
      </c>
      <c r="P39" s="182"/>
      <c r="Q39" s="170"/>
      <c r="R39" s="183">
        <v>0</v>
      </c>
      <c r="S39" s="184">
        <f t="shared" si="3"/>
        <v>0</v>
      </c>
      <c r="T39" s="185">
        <f>(SUM(K39:K44,O39:O44,S39:S44)/G39)*1.02</f>
        <v>74.10312633389763</v>
      </c>
      <c r="U39" s="134">
        <f t="shared" si="0"/>
        <v>4146.8109496449115</v>
      </c>
    </row>
    <row r="40" spans="1:21" ht="15.75">
      <c r="A40" s="177"/>
      <c r="B40" s="178"/>
      <c r="C40" s="178"/>
      <c r="D40" s="179"/>
      <c r="E40" s="187"/>
      <c r="F40" s="180"/>
      <c r="G40" s="181"/>
      <c r="H40" s="169" t="s">
        <v>142</v>
      </c>
      <c r="I40" s="170">
        <f>ROUNDUP($G$39*0.5,0)</f>
        <v>28</v>
      </c>
      <c r="J40" s="171">
        <v>52</v>
      </c>
      <c r="K40" s="171">
        <f t="shared" si="1"/>
        <v>182</v>
      </c>
      <c r="L40" s="192" t="s">
        <v>143</v>
      </c>
      <c r="M40" s="170">
        <f>G39*0.21</f>
        <v>11.751599999999998</v>
      </c>
      <c r="N40" s="171">
        <v>4.742103696256244</v>
      </c>
      <c r="O40" s="171">
        <f t="shared" si="2"/>
        <v>55.72730579692487</v>
      </c>
      <c r="P40" s="182"/>
      <c r="Q40" s="170"/>
      <c r="R40" s="183">
        <v>0</v>
      </c>
      <c r="S40" s="184">
        <f t="shared" si="3"/>
        <v>0</v>
      </c>
      <c r="T40" s="185"/>
      <c r="U40" s="134">
        <f t="shared" si="0"/>
        <v>0</v>
      </c>
    </row>
    <row r="41" spans="1:21" ht="15.75">
      <c r="A41" s="177"/>
      <c r="B41" s="178"/>
      <c r="C41" s="178"/>
      <c r="D41" s="179"/>
      <c r="E41" s="187"/>
      <c r="F41" s="180"/>
      <c r="G41" s="181"/>
      <c r="H41" s="169" t="s">
        <v>144</v>
      </c>
      <c r="I41" s="170">
        <f>ROUNDUP($G$39*0.5,0)</f>
        <v>28</v>
      </c>
      <c r="J41" s="171">
        <v>39</v>
      </c>
      <c r="K41" s="171">
        <f t="shared" si="1"/>
        <v>136.5</v>
      </c>
      <c r="L41" s="169" t="s">
        <v>145</v>
      </c>
      <c r="M41" s="170">
        <f>G39*3</f>
        <v>167.88</v>
      </c>
      <c r="N41" s="171">
        <v>5.242103696256244</v>
      </c>
      <c r="O41" s="171">
        <f t="shared" si="2"/>
        <v>880.0443685274982</v>
      </c>
      <c r="P41" s="182"/>
      <c r="Q41" s="170"/>
      <c r="R41" s="183">
        <v>0</v>
      </c>
      <c r="S41" s="184">
        <f t="shared" si="3"/>
        <v>0</v>
      </c>
      <c r="T41" s="188"/>
      <c r="U41" s="134">
        <f t="shared" si="0"/>
        <v>0</v>
      </c>
    </row>
    <row r="42" spans="1:21" ht="15.75">
      <c r="A42" s="177"/>
      <c r="B42" s="178"/>
      <c r="C42" s="178"/>
      <c r="D42" s="179"/>
      <c r="E42" s="187"/>
      <c r="F42" s="180"/>
      <c r="G42" s="181"/>
      <c r="H42" s="169"/>
      <c r="I42" s="170"/>
      <c r="J42" s="171">
        <v>0</v>
      </c>
      <c r="K42" s="171">
        <f t="shared" si="1"/>
        <v>0</v>
      </c>
      <c r="L42" s="169" t="s">
        <v>146</v>
      </c>
      <c r="M42" s="170">
        <f>G39*0.3</f>
        <v>16.787999999999997</v>
      </c>
      <c r="N42" s="171">
        <v>12.080275</v>
      </c>
      <c r="O42" s="171">
        <f t="shared" si="2"/>
        <v>202.80365669999998</v>
      </c>
      <c r="P42" s="182"/>
      <c r="Q42" s="170"/>
      <c r="R42" s="183">
        <v>0</v>
      </c>
      <c r="S42" s="184">
        <f t="shared" si="3"/>
        <v>0</v>
      </c>
      <c r="T42" s="185"/>
      <c r="U42" s="134">
        <f t="shared" si="0"/>
        <v>0</v>
      </c>
    </row>
    <row r="43" spans="1:21" ht="15.75">
      <c r="A43" s="177"/>
      <c r="B43" s="178"/>
      <c r="C43" s="178"/>
      <c r="D43" s="179"/>
      <c r="E43" s="187"/>
      <c r="F43" s="180"/>
      <c r="G43" s="181"/>
      <c r="H43" s="169"/>
      <c r="I43" s="170"/>
      <c r="J43" s="171">
        <v>0</v>
      </c>
      <c r="K43" s="171">
        <f t="shared" si="1"/>
        <v>0</v>
      </c>
      <c r="L43" s="169" t="s">
        <v>147</v>
      </c>
      <c r="M43" s="170">
        <f>G39*0.06</f>
        <v>3.3575999999999997</v>
      </c>
      <c r="N43" s="171">
        <v>1</v>
      </c>
      <c r="O43" s="171">
        <f t="shared" si="2"/>
        <v>3.3575999999999997</v>
      </c>
      <c r="P43" s="182"/>
      <c r="Q43" s="170"/>
      <c r="R43" s="183">
        <v>0</v>
      </c>
      <c r="S43" s="184">
        <f t="shared" si="3"/>
        <v>0</v>
      </c>
      <c r="T43" s="185"/>
      <c r="U43" s="134">
        <f t="shared" si="0"/>
        <v>0</v>
      </c>
    </row>
    <row r="44" spans="1:21" ht="15.75">
      <c r="A44" s="177"/>
      <c r="B44" s="178"/>
      <c r="C44" s="178"/>
      <c r="D44" s="179"/>
      <c r="E44" s="187"/>
      <c r="F44" s="180"/>
      <c r="G44" s="181"/>
      <c r="H44" s="169"/>
      <c r="I44" s="170"/>
      <c r="J44" s="171">
        <v>0</v>
      </c>
      <c r="K44" s="171">
        <f t="shared" si="1"/>
        <v>0</v>
      </c>
      <c r="L44" s="169" t="s">
        <v>148</v>
      </c>
      <c r="M44" s="170">
        <f>G39*0.01</f>
        <v>0.5596</v>
      </c>
      <c r="N44" s="171">
        <v>4250</v>
      </c>
      <c r="O44" s="171">
        <f t="shared" si="2"/>
        <v>2378.2999999999997</v>
      </c>
      <c r="P44" s="182"/>
      <c r="Q44" s="170"/>
      <c r="R44" s="183">
        <v>0</v>
      </c>
      <c r="S44" s="184">
        <f t="shared" si="3"/>
        <v>0</v>
      </c>
      <c r="T44" s="185"/>
      <c r="U44" s="134">
        <f t="shared" si="0"/>
        <v>0</v>
      </c>
    </row>
    <row r="45" spans="1:21" ht="15.75">
      <c r="A45" s="177" t="s">
        <v>11</v>
      </c>
      <c r="B45" s="178">
        <v>2</v>
      </c>
      <c r="C45" s="178">
        <v>4</v>
      </c>
      <c r="D45" s="179">
        <v>2</v>
      </c>
      <c r="E45" s="187" t="s">
        <v>291</v>
      </c>
      <c r="F45" s="180" t="s">
        <v>35</v>
      </c>
      <c r="G45" s="181">
        <v>55.959999999999994</v>
      </c>
      <c r="H45" s="169" t="s">
        <v>129</v>
      </c>
      <c r="I45" s="170">
        <f>ROUNDUP($G$39*0.2,0)</f>
        <v>12</v>
      </c>
      <c r="J45" s="171">
        <v>26</v>
      </c>
      <c r="K45" s="171">
        <f aca="true" t="shared" si="4" ref="K45:K50">I45*J45/8</f>
        <v>39</v>
      </c>
      <c r="L45" s="169"/>
      <c r="M45" s="170"/>
      <c r="N45" s="171">
        <v>0.1</v>
      </c>
      <c r="O45" s="171">
        <f aca="true" t="shared" si="5" ref="O45:O50">M45*N45</f>
        <v>0</v>
      </c>
      <c r="P45" s="182"/>
      <c r="Q45" s="170"/>
      <c r="R45" s="183">
        <v>0</v>
      </c>
      <c r="S45" s="184">
        <f aca="true" t="shared" si="6" ref="S45:S50">R45*Q45</f>
        <v>0</v>
      </c>
      <c r="T45" s="185">
        <f>(SUM(K45:K50,O45:O50,S45:S50)/G45)*1.02</f>
        <v>1.9548784846318803</v>
      </c>
      <c r="U45" s="134">
        <f t="shared" si="0"/>
        <v>109.39500000000001</v>
      </c>
    </row>
    <row r="46" spans="1:21" ht="15.75">
      <c r="A46" s="177"/>
      <c r="B46" s="178"/>
      <c r="C46" s="178"/>
      <c r="D46" s="179"/>
      <c r="E46" s="187"/>
      <c r="F46" s="180"/>
      <c r="G46" s="181"/>
      <c r="H46" s="169" t="s">
        <v>142</v>
      </c>
      <c r="I46" s="170">
        <f>ROUNDUP($G$39*0.1,0)</f>
        <v>6</v>
      </c>
      <c r="J46" s="171">
        <v>52</v>
      </c>
      <c r="K46" s="171">
        <f t="shared" si="4"/>
        <v>39</v>
      </c>
      <c r="L46" s="192"/>
      <c r="M46" s="170"/>
      <c r="N46" s="171">
        <v>4.742103696256244</v>
      </c>
      <c r="O46" s="171">
        <f t="shared" si="5"/>
        <v>0</v>
      </c>
      <c r="P46" s="182"/>
      <c r="Q46" s="170"/>
      <c r="R46" s="183">
        <v>0</v>
      </c>
      <c r="S46" s="184">
        <f t="shared" si="6"/>
        <v>0</v>
      </c>
      <c r="T46" s="185"/>
      <c r="U46" s="134">
        <f t="shared" si="0"/>
        <v>0</v>
      </c>
    </row>
    <row r="47" spans="1:21" ht="15.75">
      <c r="A47" s="177"/>
      <c r="B47" s="178"/>
      <c r="C47" s="178"/>
      <c r="D47" s="179"/>
      <c r="E47" s="187"/>
      <c r="F47" s="180"/>
      <c r="G47" s="181"/>
      <c r="H47" s="169" t="s">
        <v>144</v>
      </c>
      <c r="I47" s="170">
        <f>ROUNDUP($G$39*0.1,0)</f>
        <v>6</v>
      </c>
      <c r="J47" s="171">
        <v>39</v>
      </c>
      <c r="K47" s="171">
        <f t="shared" si="4"/>
        <v>29.25</v>
      </c>
      <c r="L47" s="169"/>
      <c r="M47" s="170"/>
      <c r="N47" s="171">
        <v>5.242103696256244</v>
      </c>
      <c r="O47" s="171">
        <f t="shared" si="5"/>
        <v>0</v>
      </c>
      <c r="P47" s="182"/>
      <c r="Q47" s="170"/>
      <c r="R47" s="183">
        <v>0</v>
      </c>
      <c r="S47" s="184">
        <f t="shared" si="6"/>
        <v>0</v>
      </c>
      <c r="T47" s="188"/>
      <c r="U47" s="134">
        <f t="shared" si="0"/>
        <v>0</v>
      </c>
    </row>
    <row r="48" spans="1:21" ht="15.75">
      <c r="A48" s="177"/>
      <c r="B48" s="178"/>
      <c r="C48" s="178"/>
      <c r="D48" s="179"/>
      <c r="E48" s="187"/>
      <c r="F48" s="180"/>
      <c r="G48" s="181"/>
      <c r="H48" s="169"/>
      <c r="I48" s="170"/>
      <c r="J48" s="171">
        <v>0</v>
      </c>
      <c r="K48" s="171">
        <f t="shared" si="4"/>
        <v>0</v>
      </c>
      <c r="L48" s="169"/>
      <c r="M48" s="170"/>
      <c r="N48" s="171">
        <v>12.080275</v>
      </c>
      <c r="O48" s="171">
        <f t="shared" si="5"/>
        <v>0</v>
      </c>
      <c r="P48" s="182"/>
      <c r="Q48" s="170"/>
      <c r="R48" s="183">
        <v>0</v>
      </c>
      <c r="S48" s="184">
        <f t="shared" si="6"/>
        <v>0</v>
      </c>
      <c r="T48" s="185"/>
      <c r="U48" s="134">
        <f t="shared" si="0"/>
        <v>0</v>
      </c>
    </row>
    <row r="49" spans="1:21" ht="15.75">
      <c r="A49" s="177"/>
      <c r="B49" s="178"/>
      <c r="C49" s="178"/>
      <c r="D49" s="179"/>
      <c r="E49" s="187"/>
      <c r="F49" s="180"/>
      <c r="G49" s="181"/>
      <c r="H49" s="169"/>
      <c r="I49" s="170"/>
      <c r="J49" s="171">
        <v>0</v>
      </c>
      <c r="K49" s="171">
        <f t="shared" si="4"/>
        <v>0</v>
      </c>
      <c r="L49" s="169"/>
      <c r="M49" s="170"/>
      <c r="N49" s="171">
        <v>1</v>
      </c>
      <c r="O49" s="171">
        <f t="shared" si="5"/>
        <v>0</v>
      </c>
      <c r="P49" s="182"/>
      <c r="Q49" s="170"/>
      <c r="R49" s="183">
        <v>0</v>
      </c>
      <c r="S49" s="184">
        <f t="shared" si="6"/>
        <v>0</v>
      </c>
      <c r="T49" s="185"/>
      <c r="U49" s="134">
        <f t="shared" si="0"/>
        <v>0</v>
      </c>
    </row>
    <row r="50" spans="1:21" ht="15.75">
      <c r="A50" s="177"/>
      <c r="B50" s="178"/>
      <c r="C50" s="178"/>
      <c r="D50" s="179"/>
      <c r="E50" s="187"/>
      <c r="F50" s="180"/>
      <c r="G50" s="181"/>
      <c r="H50" s="169"/>
      <c r="I50" s="170"/>
      <c r="J50" s="171">
        <v>0</v>
      </c>
      <c r="K50" s="171">
        <f t="shared" si="4"/>
        <v>0</v>
      </c>
      <c r="L50" s="169"/>
      <c r="M50" s="170"/>
      <c r="N50" s="171">
        <v>4250</v>
      </c>
      <c r="O50" s="171">
        <f t="shared" si="5"/>
        <v>0</v>
      </c>
      <c r="P50" s="182"/>
      <c r="Q50" s="170"/>
      <c r="R50" s="183">
        <v>0</v>
      </c>
      <c r="S50" s="184">
        <f t="shared" si="6"/>
        <v>0</v>
      </c>
      <c r="T50" s="185"/>
      <c r="U50" s="134">
        <f t="shared" si="0"/>
        <v>0</v>
      </c>
    </row>
    <row r="51" spans="1:21" ht="54">
      <c r="A51" s="177" t="s">
        <v>11</v>
      </c>
      <c r="B51" s="178">
        <v>2</v>
      </c>
      <c r="C51" s="178">
        <v>5</v>
      </c>
      <c r="D51" s="179"/>
      <c r="E51" s="190" t="s">
        <v>423</v>
      </c>
      <c r="F51" s="180"/>
      <c r="G51" s="181">
        <v>0</v>
      </c>
      <c r="H51" s="169"/>
      <c r="I51" s="170"/>
      <c r="J51" s="171">
        <v>0</v>
      </c>
      <c r="K51" s="171">
        <f t="shared" si="1"/>
        <v>0</v>
      </c>
      <c r="L51" s="169"/>
      <c r="M51" s="170"/>
      <c r="N51" s="171">
        <v>0</v>
      </c>
      <c r="O51" s="171">
        <f t="shared" si="2"/>
        <v>0</v>
      </c>
      <c r="P51" s="182"/>
      <c r="Q51" s="170"/>
      <c r="R51" s="183">
        <v>0</v>
      </c>
      <c r="S51" s="184">
        <f t="shared" si="3"/>
        <v>0</v>
      </c>
      <c r="T51" s="185"/>
      <c r="U51" s="134">
        <f t="shared" si="0"/>
        <v>0</v>
      </c>
    </row>
    <row r="52" spans="1:21" ht="15.75">
      <c r="A52" s="177" t="s">
        <v>11</v>
      </c>
      <c r="B52" s="178">
        <v>2</v>
      </c>
      <c r="C52" s="178">
        <v>5</v>
      </c>
      <c r="D52" s="179">
        <v>1</v>
      </c>
      <c r="E52" s="187" t="s">
        <v>46</v>
      </c>
      <c r="F52" s="180" t="s">
        <v>47</v>
      </c>
      <c r="G52" s="181">
        <v>0</v>
      </c>
      <c r="H52" s="169" t="s">
        <v>129</v>
      </c>
      <c r="I52" s="170">
        <f>ROUNDUP(G52*0.09,0)</f>
        <v>0</v>
      </c>
      <c r="J52" s="171">
        <v>26</v>
      </c>
      <c r="K52" s="171">
        <f t="shared" si="1"/>
        <v>0</v>
      </c>
      <c r="L52" s="169" t="s">
        <v>149</v>
      </c>
      <c r="M52" s="170">
        <f>G52*1.02</f>
        <v>0</v>
      </c>
      <c r="N52" s="171">
        <v>10.425275000000001</v>
      </c>
      <c r="O52" s="171">
        <f t="shared" si="2"/>
        <v>0</v>
      </c>
      <c r="P52" s="182"/>
      <c r="Q52" s="170"/>
      <c r="R52" s="183">
        <v>0</v>
      </c>
      <c r="S52" s="184">
        <f t="shared" si="3"/>
        <v>0</v>
      </c>
      <c r="T52" s="185"/>
      <c r="U52" s="134">
        <f t="shared" si="0"/>
        <v>0</v>
      </c>
    </row>
    <row r="53" spans="1:21" ht="15.75">
      <c r="A53" s="177"/>
      <c r="B53" s="178"/>
      <c r="C53" s="178"/>
      <c r="D53" s="179"/>
      <c r="E53" s="187"/>
      <c r="F53" s="180"/>
      <c r="G53" s="181"/>
      <c r="H53" s="169" t="s">
        <v>150</v>
      </c>
      <c r="I53" s="170">
        <f>ROUNDUP(G52*0.02,0)</f>
        <v>0</v>
      </c>
      <c r="J53" s="171">
        <v>52</v>
      </c>
      <c r="K53" s="171">
        <f t="shared" si="1"/>
        <v>0</v>
      </c>
      <c r="L53" s="169" t="s">
        <v>151</v>
      </c>
      <c r="M53" s="170">
        <f>G52*0.02</f>
        <v>0</v>
      </c>
      <c r="N53" s="171">
        <v>12.080275</v>
      </c>
      <c r="O53" s="171">
        <f t="shared" si="2"/>
        <v>0</v>
      </c>
      <c r="P53" s="182"/>
      <c r="Q53" s="170"/>
      <c r="R53" s="183">
        <v>0</v>
      </c>
      <c r="S53" s="184">
        <f t="shared" si="3"/>
        <v>0</v>
      </c>
      <c r="T53" s="185"/>
      <c r="U53" s="134">
        <f t="shared" si="0"/>
        <v>0</v>
      </c>
    </row>
    <row r="54" spans="1:21" ht="15.75">
      <c r="A54" s="177"/>
      <c r="B54" s="178"/>
      <c r="C54" s="178"/>
      <c r="D54" s="179"/>
      <c r="E54" s="187"/>
      <c r="F54" s="180"/>
      <c r="G54" s="181"/>
      <c r="H54" s="169" t="s">
        <v>152</v>
      </c>
      <c r="I54" s="170">
        <f>ROUNDUP(G52*0.02,0)</f>
        <v>0</v>
      </c>
      <c r="J54" s="171">
        <v>39</v>
      </c>
      <c r="K54" s="171">
        <f t="shared" si="1"/>
        <v>0</v>
      </c>
      <c r="L54" s="169"/>
      <c r="M54" s="170"/>
      <c r="N54" s="171">
        <v>0</v>
      </c>
      <c r="O54" s="171">
        <f t="shared" si="2"/>
        <v>0</v>
      </c>
      <c r="P54" s="182"/>
      <c r="Q54" s="170"/>
      <c r="R54" s="183">
        <v>0</v>
      </c>
      <c r="S54" s="184">
        <f t="shared" si="3"/>
        <v>0</v>
      </c>
      <c r="T54" s="188"/>
      <c r="U54" s="134">
        <f t="shared" si="0"/>
        <v>0</v>
      </c>
    </row>
    <row r="55" spans="1:21" ht="15.75">
      <c r="A55" s="177" t="s">
        <v>11</v>
      </c>
      <c r="B55" s="178">
        <v>2</v>
      </c>
      <c r="C55" s="178">
        <v>5</v>
      </c>
      <c r="D55" s="179">
        <v>2</v>
      </c>
      <c r="E55" s="187" t="s">
        <v>48</v>
      </c>
      <c r="F55" s="180" t="s">
        <v>47</v>
      </c>
      <c r="G55" s="181">
        <v>312.9585</v>
      </c>
      <c r="H55" s="169" t="s">
        <v>129</v>
      </c>
      <c r="I55" s="170">
        <f>ROUNDUP(G55*0.09,0)</f>
        <v>29</v>
      </c>
      <c r="J55" s="171">
        <v>26</v>
      </c>
      <c r="K55" s="171">
        <f t="shared" si="1"/>
        <v>94.25</v>
      </c>
      <c r="L55" s="169" t="s">
        <v>153</v>
      </c>
      <c r="M55" s="170">
        <f>G55*1.02</f>
        <v>319.21767</v>
      </c>
      <c r="N55" s="171">
        <v>10.425275000000001</v>
      </c>
      <c r="O55" s="171">
        <f t="shared" si="2"/>
        <v>3327.93199460925</v>
      </c>
      <c r="P55" s="182"/>
      <c r="Q55" s="170"/>
      <c r="R55" s="183">
        <v>0</v>
      </c>
      <c r="S55" s="184">
        <f t="shared" si="3"/>
        <v>0</v>
      </c>
      <c r="T55" s="185">
        <f>(SUM(K55:K57,O55:O57,S55:S57)/G55)*1.02</f>
        <v>11.659590262832356</v>
      </c>
      <c r="U55" s="134">
        <f t="shared" si="0"/>
        <v>3648.9678792706204</v>
      </c>
    </row>
    <row r="56" spans="1:21" ht="15.75">
      <c r="A56" s="177"/>
      <c r="B56" s="178"/>
      <c r="C56" s="178"/>
      <c r="D56" s="179"/>
      <c r="E56" s="187"/>
      <c r="F56" s="180"/>
      <c r="G56" s="181"/>
      <c r="H56" s="169" t="s">
        <v>150</v>
      </c>
      <c r="I56" s="170">
        <f>ROUNDUP(G55*0.02,0)</f>
        <v>7</v>
      </c>
      <c r="J56" s="171">
        <v>52</v>
      </c>
      <c r="K56" s="171">
        <f t="shared" si="1"/>
        <v>45.5</v>
      </c>
      <c r="L56" s="169" t="s">
        <v>151</v>
      </c>
      <c r="M56" s="170">
        <f>G55*0.02</f>
        <v>6.25917</v>
      </c>
      <c r="N56" s="171">
        <v>12.080275</v>
      </c>
      <c r="O56" s="171">
        <f t="shared" si="2"/>
        <v>75.61249487175</v>
      </c>
      <c r="P56" s="182"/>
      <c r="Q56" s="170"/>
      <c r="R56" s="183">
        <v>0</v>
      </c>
      <c r="S56" s="184">
        <f t="shared" si="3"/>
        <v>0</v>
      </c>
      <c r="T56" s="185"/>
      <c r="U56" s="134">
        <f t="shared" si="0"/>
        <v>0</v>
      </c>
    </row>
    <row r="57" spans="1:21" ht="15.75">
      <c r="A57" s="177"/>
      <c r="B57" s="178"/>
      <c r="C57" s="178"/>
      <c r="D57" s="179"/>
      <c r="E57" s="187"/>
      <c r="F57" s="180"/>
      <c r="G57" s="181"/>
      <c r="H57" s="169" t="s">
        <v>152</v>
      </c>
      <c r="I57" s="170">
        <f>ROUNDUP(G55*0.02,0)</f>
        <v>7</v>
      </c>
      <c r="J57" s="171">
        <v>39</v>
      </c>
      <c r="K57" s="171">
        <f t="shared" si="1"/>
        <v>34.125</v>
      </c>
      <c r="L57" s="169"/>
      <c r="M57" s="170"/>
      <c r="N57" s="171">
        <v>0</v>
      </c>
      <c r="O57" s="171">
        <f t="shared" si="2"/>
        <v>0</v>
      </c>
      <c r="P57" s="182"/>
      <c r="Q57" s="170"/>
      <c r="R57" s="183">
        <v>0</v>
      </c>
      <c r="S57" s="184">
        <f t="shared" si="3"/>
        <v>0</v>
      </c>
      <c r="T57" s="185"/>
      <c r="U57" s="134">
        <f t="shared" si="0"/>
        <v>0</v>
      </c>
    </row>
    <row r="58" spans="1:21" ht="15.75">
      <c r="A58" s="177" t="s">
        <v>11</v>
      </c>
      <c r="B58" s="178">
        <v>2</v>
      </c>
      <c r="C58" s="178">
        <v>5</v>
      </c>
      <c r="D58" s="179">
        <v>3</v>
      </c>
      <c r="E58" s="187" t="s">
        <v>49</v>
      </c>
      <c r="F58" s="180" t="s">
        <v>47</v>
      </c>
      <c r="G58" s="181">
        <v>155.4</v>
      </c>
      <c r="H58" s="169" t="s">
        <v>129</v>
      </c>
      <c r="I58" s="170">
        <f>ROUNDUP(G58*0.09,0)</f>
        <v>14</v>
      </c>
      <c r="J58" s="171">
        <v>26</v>
      </c>
      <c r="K58" s="171">
        <f t="shared" si="1"/>
        <v>45.5</v>
      </c>
      <c r="L58" s="169" t="s">
        <v>154</v>
      </c>
      <c r="M58" s="170">
        <f>G58*1.02</f>
        <v>158.508</v>
      </c>
      <c r="N58" s="171">
        <v>10.425275000000001</v>
      </c>
      <c r="O58" s="171">
        <f t="shared" si="2"/>
        <v>1652.4894897000001</v>
      </c>
      <c r="P58" s="182"/>
      <c r="Q58" s="170"/>
      <c r="R58" s="183">
        <v>0</v>
      </c>
      <c r="S58" s="184">
        <f t="shared" si="3"/>
        <v>0</v>
      </c>
      <c r="T58" s="185">
        <f>(SUM(K58:K60,O58:O60,S58:S60)/G58)*1.02</f>
        <v>11.690191017297298</v>
      </c>
      <c r="U58" s="134">
        <f t="shared" si="0"/>
        <v>1816.6556840880003</v>
      </c>
    </row>
    <row r="59" spans="1:21" ht="15.75">
      <c r="A59" s="177"/>
      <c r="B59" s="178"/>
      <c r="C59" s="178"/>
      <c r="D59" s="179"/>
      <c r="E59" s="187"/>
      <c r="F59" s="180"/>
      <c r="G59" s="181"/>
      <c r="H59" s="169" t="s">
        <v>150</v>
      </c>
      <c r="I59" s="170">
        <f>ROUNDUP(G58*0.02,0)</f>
        <v>4</v>
      </c>
      <c r="J59" s="171">
        <v>52</v>
      </c>
      <c r="K59" s="171">
        <f t="shared" si="1"/>
        <v>26</v>
      </c>
      <c r="L59" s="169" t="s">
        <v>151</v>
      </c>
      <c r="M59" s="170">
        <f>G58*0.02</f>
        <v>3.108</v>
      </c>
      <c r="N59" s="171">
        <v>12.080275</v>
      </c>
      <c r="O59" s="171">
        <f t="shared" si="2"/>
        <v>37.5454947</v>
      </c>
      <c r="P59" s="182"/>
      <c r="Q59" s="170"/>
      <c r="R59" s="183">
        <v>0</v>
      </c>
      <c r="S59" s="184">
        <f t="shared" si="3"/>
        <v>0</v>
      </c>
      <c r="T59" s="185"/>
      <c r="U59" s="134">
        <f t="shared" si="0"/>
        <v>0</v>
      </c>
    </row>
    <row r="60" spans="1:21" ht="15.75">
      <c r="A60" s="177"/>
      <c r="B60" s="178"/>
      <c r="C60" s="178"/>
      <c r="D60" s="179"/>
      <c r="E60" s="187"/>
      <c r="F60" s="180"/>
      <c r="G60" s="181"/>
      <c r="H60" s="169" t="s">
        <v>152</v>
      </c>
      <c r="I60" s="170">
        <f>ROUNDUP(G58*0.02,0)</f>
        <v>4</v>
      </c>
      <c r="J60" s="171">
        <v>39</v>
      </c>
      <c r="K60" s="171">
        <f t="shared" si="1"/>
        <v>19.5</v>
      </c>
      <c r="L60" s="169"/>
      <c r="M60" s="170"/>
      <c r="N60" s="171">
        <v>0</v>
      </c>
      <c r="O60" s="171">
        <f t="shared" si="2"/>
        <v>0</v>
      </c>
      <c r="P60" s="182"/>
      <c r="Q60" s="170"/>
      <c r="R60" s="183">
        <v>0</v>
      </c>
      <c r="S60" s="184">
        <f t="shared" si="3"/>
        <v>0</v>
      </c>
      <c r="T60" s="185"/>
      <c r="U60" s="134">
        <f t="shared" si="0"/>
        <v>0</v>
      </c>
    </row>
    <row r="61" spans="1:21" s="109" customFormat="1" ht="15.75">
      <c r="A61" s="163" t="s">
        <v>11</v>
      </c>
      <c r="B61" s="164">
        <v>20</v>
      </c>
      <c r="C61" s="164"/>
      <c r="D61" s="165"/>
      <c r="E61" s="189" t="s">
        <v>37</v>
      </c>
      <c r="F61" s="167"/>
      <c r="G61" s="181">
        <v>0</v>
      </c>
      <c r="H61" s="169"/>
      <c r="I61" s="170"/>
      <c r="J61" s="171">
        <v>0</v>
      </c>
      <c r="K61" s="171">
        <f t="shared" si="1"/>
        <v>0</v>
      </c>
      <c r="L61" s="169"/>
      <c r="M61" s="170"/>
      <c r="N61" s="171">
        <v>0</v>
      </c>
      <c r="O61" s="171">
        <f t="shared" si="2"/>
        <v>0</v>
      </c>
      <c r="P61" s="172"/>
      <c r="Q61" s="173"/>
      <c r="R61" s="183">
        <v>0</v>
      </c>
      <c r="S61" s="184">
        <f t="shared" si="3"/>
        <v>0</v>
      </c>
      <c r="T61" s="185"/>
      <c r="U61" s="134">
        <f t="shared" si="0"/>
        <v>0</v>
      </c>
    </row>
    <row r="62" spans="1:21" s="109" customFormat="1" ht="15.75">
      <c r="A62" s="163" t="s">
        <v>11</v>
      </c>
      <c r="B62" s="164">
        <v>3</v>
      </c>
      <c r="C62" s="164"/>
      <c r="D62" s="165"/>
      <c r="E62" s="186" t="s">
        <v>50</v>
      </c>
      <c r="F62" s="167"/>
      <c r="G62" s="181">
        <v>0</v>
      </c>
      <c r="H62" s="169"/>
      <c r="I62" s="170"/>
      <c r="J62" s="171">
        <v>0</v>
      </c>
      <c r="K62" s="171">
        <f t="shared" si="1"/>
        <v>0</v>
      </c>
      <c r="L62" s="169"/>
      <c r="M62" s="170"/>
      <c r="N62" s="171">
        <v>0</v>
      </c>
      <c r="O62" s="171">
        <f t="shared" si="2"/>
        <v>0</v>
      </c>
      <c r="P62" s="172"/>
      <c r="Q62" s="173"/>
      <c r="R62" s="183">
        <v>0</v>
      </c>
      <c r="S62" s="184">
        <f t="shared" si="3"/>
        <v>0</v>
      </c>
      <c r="T62" s="185"/>
      <c r="U62" s="134">
        <f t="shared" si="0"/>
        <v>0</v>
      </c>
    </row>
    <row r="63" spans="1:21" ht="27.75">
      <c r="A63" s="177" t="s">
        <v>11</v>
      </c>
      <c r="B63" s="178">
        <v>3</v>
      </c>
      <c r="C63" s="178">
        <v>1</v>
      </c>
      <c r="D63" s="179"/>
      <c r="E63" s="193" t="s">
        <v>424</v>
      </c>
      <c r="F63" s="180" t="s">
        <v>36</v>
      </c>
      <c r="G63" s="181">
        <v>54.15</v>
      </c>
      <c r="H63" s="169" t="s">
        <v>129</v>
      </c>
      <c r="I63" s="170">
        <f>ROUNDUP(G63*6.67,0)</f>
        <v>362</v>
      </c>
      <c r="J63" s="171">
        <v>26</v>
      </c>
      <c r="K63" s="171">
        <f t="shared" si="1"/>
        <v>1176.5</v>
      </c>
      <c r="L63" s="169" t="s">
        <v>155</v>
      </c>
      <c r="M63" s="170">
        <f>G63*1.2</f>
        <v>64.97999999999999</v>
      </c>
      <c r="N63" s="171">
        <v>80</v>
      </c>
      <c r="O63" s="171">
        <f t="shared" si="2"/>
        <v>5198.4</v>
      </c>
      <c r="P63" s="182" t="s">
        <v>137</v>
      </c>
      <c r="Q63" s="170">
        <f>ROUNDUP(G63*0.03,0)</f>
        <v>2</v>
      </c>
      <c r="R63" s="183">
        <v>30</v>
      </c>
      <c r="S63" s="184">
        <f t="shared" si="3"/>
        <v>60</v>
      </c>
      <c r="T63" s="185">
        <f>(SUM(K63:L66,O63:O66,S63:S66)/G63)*1.02</f>
        <v>362.75624846320613</v>
      </c>
      <c r="U63" s="134">
        <f t="shared" si="0"/>
        <v>19643.25085428261</v>
      </c>
    </row>
    <row r="64" spans="1:21" ht="15.75">
      <c r="A64" s="177"/>
      <c r="B64" s="178"/>
      <c r="C64" s="178"/>
      <c r="D64" s="179"/>
      <c r="E64" s="193"/>
      <c r="F64" s="180"/>
      <c r="G64" s="181"/>
      <c r="H64" s="169" t="s">
        <v>135</v>
      </c>
      <c r="I64" s="170">
        <f>ROUNDUP(G63*3.33,0)</f>
        <v>181</v>
      </c>
      <c r="J64" s="171">
        <v>52</v>
      </c>
      <c r="K64" s="171">
        <f t="shared" si="1"/>
        <v>1176.5</v>
      </c>
      <c r="L64" s="169" t="s">
        <v>136</v>
      </c>
      <c r="M64" s="170">
        <f>G63*1</f>
        <v>54.15</v>
      </c>
      <c r="N64" s="171">
        <v>174.77097826086958</v>
      </c>
      <c r="O64" s="171">
        <f t="shared" si="2"/>
        <v>9463.848472826088</v>
      </c>
      <c r="P64" s="182"/>
      <c r="Q64" s="170"/>
      <c r="R64" s="183">
        <v>0</v>
      </c>
      <c r="S64" s="184">
        <f t="shared" si="3"/>
        <v>0</v>
      </c>
      <c r="T64" s="176"/>
      <c r="U64" s="134">
        <f t="shared" si="0"/>
        <v>0</v>
      </c>
    </row>
    <row r="65" spans="1:21" ht="15.75">
      <c r="A65" s="177"/>
      <c r="B65" s="178"/>
      <c r="C65" s="178"/>
      <c r="D65" s="179"/>
      <c r="E65" s="193"/>
      <c r="F65" s="180"/>
      <c r="G65" s="181"/>
      <c r="H65" s="169" t="s">
        <v>156</v>
      </c>
      <c r="I65" s="170">
        <f>ROUNDUP(G63*3.33,0)</f>
        <v>181</v>
      </c>
      <c r="J65" s="171">
        <v>39</v>
      </c>
      <c r="K65" s="171">
        <f t="shared" si="1"/>
        <v>882.375</v>
      </c>
      <c r="L65" s="169" t="s">
        <v>139</v>
      </c>
      <c r="M65" s="170">
        <f>G63*0.3</f>
        <v>16.244999999999997</v>
      </c>
      <c r="N65" s="171">
        <v>80</v>
      </c>
      <c r="O65" s="171">
        <f t="shared" si="2"/>
        <v>1299.6</v>
      </c>
      <c r="P65" s="182"/>
      <c r="Q65" s="170"/>
      <c r="R65" s="183">
        <v>0</v>
      </c>
      <c r="S65" s="184">
        <f t="shared" si="3"/>
        <v>0</v>
      </c>
      <c r="T65" s="188"/>
      <c r="U65" s="134">
        <f t="shared" si="0"/>
        <v>0</v>
      </c>
    </row>
    <row r="66" spans="1:21" ht="15.75">
      <c r="A66" s="177"/>
      <c r="B66" s="178"/>
      <c r="C66" s="178"/>
      <c r="D66" s="179"/>
      <c r="E66" s="193"/>
      <c r="F66" s="180"/>
      <c r="G66" s="181"/>
      <c r="H66" s="169"/>
      <c r="I66" s="170"/>
      <c r="J66" s="171">
        <v>0</v>
      </c>
      <c r="K66" s="171">
        <f t="shared" si="1"/>
        <v>0</v>
      </c>
      <c r="L66" s="169" t="s">
        <v>131</v>
      </c>
      <c r="M66" s="170">
        <f>Q63*0.08</f>
        <v>0.16</v>
      </c>
      <c r="N66" s="171">
        <v>5.41</v>
      </c>
      <c r="O66" s="171">
        <f t="shared" si="2"/>
        <v>0.8656</v>
      </c>
      <c r="P66" s="182"/>
      <c r="Q66" s="170"/>
      <c r="R66" s="183">
        <v>0</v>
      </c>
      <c r="S66" s="184">
        <f t="shared" si="3"/>
        <v>0</v>
      </c>
      <c r="T66" s="185"/>
      <c r="U66" s="134">
        <f t="shared" si="0"/>
        <v>0</v>
      </c>
    </row>
    <row r="67" spans="1:21" ht="40.5">
      <c r="A67" s="177" t="s">
        <v>11</v>
      </c>
      <c r="B67" s="178">
        <v>3</v>
      </c>
      <c r="C67" s="178">
        <v>2</v>
      </c>
      <c r="D67" s="179"/>
      <c r="E67" s="193" t="s">
        <v>425</v>
      </c>
      <c r="F67" s="180" t="s">
        <v>36</v>
      </c>
      <c r="G67" s="181">
        <v>16.25</v>
      </c>
      <c r="H67" s="169" t="s">
        <v>129</v>
      </c>
      <c r="I67" s="170">
        <f>ROUNDUP(G67*8,0)</f>
        <v>130</v>
      </c>
      <c r="J67" s="171">
        <v>26</v>
      </c>
      <c r="K67" s="171">
        <f t="shared" si="1"/>
        <v>422.5</v>
      </c>
      <c r="L67" s="169" t="s">
        <v>155</v>
      </c>
      <c r="M67" s="170">
        <f>G67*1.2</f>
        <v>19.5</v>
      </c>
      <c r="N67" s="171">
        <v>80</v>
      </c>
      <c r="O67" s="171">
        <f t="shared" si="2"/>
        <v>1560</v>
      </c>
      <c r="P67" s="182" t="s">
        <v>137</v>
      </c>
      <c r="Q67" s="170">
        <f>ROUNDUP(G67*0.03,0)</f>
        <v>1</v>
      </c>
      <c r="R67" s="183">
        <v>30</v>
      </c>
      <c r="S67" s="184">
        <f t="shared" si="3"/>
        <v>30</v>
      </c>
      <c r="T67" s="185">
        <f>(SUM(K67:K70,O67:O70,S67:S70)/G67)*1.02</f>
        <v>375.5066412722408</v>
      </c>
      <c r="U67" s="134">
        <f t="shared" si="0"/>
        <v>6101.982920673913</v>
      </c>
    </row>
    <row r="68" spans="1:21" ht="15.75">
      <c r="A68" s="177"/>
      <c r="B68" s="178"/>
      <c r="C68" s="178"/>
      <c r="D68" s="179"/>
      <c r="E68" s="193"/>
      <c r="F68" s="180"/>
      <c r="G68" s="181"/>
      <c r="H68" s="169" t="s">
        <v>135</v>
      </c>
      <c r="I68" s="170">
        <f>ROUNDUP(G67*4,0)</f>
        <v>65</v>
      </c>
      <c r="J68" s="171">
        <v>52</v>
      </c>
      <c r="K68" s="171">
        <f t="shared" si="1"/>
        <v>422.5</v>
      </c>
      <c r="L68" s="169" t="s">
        <v>136</v>
      </c>
      <c r="M68" s="170">
        <f>G67*1</f>
        <v>16.25</v>
      </c>
      <c r="N68" s="171">
        <v>174.77097826086958</v>
      </c>
      <c r="O68" s="171">
        <f t="shared" si="2"/>
        <v>2840.0283967391306</v>
      </c>
      <c r="P68" s="182"/>
      <c r="Q68" s="170"/>
      <c r="R68" s="183">
        <v>0</v>
      </c>
      <c r="S68" s="184">
        <f t="shared" si="3"/>
        <v>0</v>
      </c>
      <c r="T68" s="185"/>
      <c r="U68" s="134">
        <f t="shared" si="0"/>
        <v>0</v>
      </c>
    </row>
    <row r="69" spans="1:21" ht="15.75">
      <c r="A69" s="177"/>
      <c r="B69" s="178"/>
      <c r="C69" s="178"/>
      <c r="D69" s="179"/>
      <c r="E69" s="193"/>
      <c r="F69" s="180"/>
      <c r="G69" s="181"/>
      <c r="H69" s="169" t="s">
        <v>156</v>
      </c>
      <c r="I69" s="170">
        <f>ROUNDUP(G67*4,0)</f>
        <v>65</v>
      </c>
      <c r="J69" s="171">
        <v>39</v>
      </c>
      <c r="K69" s="171">
        <f t="shared" si="1"/>
        <v>316.875</v>
      </c>
      <c r="L69" s="169" t="s">
        <v>139</v>
      </c>
      <c r="M69" s="170">
        <f>G67*0.3</f>
        <v>4.875</v>
      </c>
      <c r="N69" s="171">
        <v>80</v>
      </c>
      <c r="O69" s="171">
        <f t="shared" si="2"/>
        <v>390</v>
      </c>
      <c r="P69" s="182"/>
      <c r="Q69" s="170"/>
      <c r="R69" s="183">
        <v>0</v>
      </c>
      <c r="S69" s="184">
        <f t="shared" si="3"/>
        <v>0</v>
      </c>
      <c r="T69" s="188"/>
      <c r="U69" s="134">
        <f t="shared" si="0"/>
        <v>0</v>
      </c>
    </row>
    <row r="70" spans="1:21" ht="15.75">
      <c r="A70" s="177"/>
      <c r="B70" s="178"/>
      <c r="C70" s="178"/>
      <c r="D70" s="179"/>
      <c r="E70" s="193"/>
      <c r="F70" s="180"/>
      <c r="G70" s="181"/>
      <c r="H70" s="169"/>
      <c r="I70" s="170"/>
      <c r="J70" s="171">
        <v>0</v>
      </c>
      <c r="K70" s="171">
        <f t="shared" si="1"/>
        <v>0</v>
      </c>
      <c r="L70" s="169" t="s">
        <v>131</v>
      </c>
      <c r="M70" s="170">
        <f>Q67*0.08</f>
        <v>0.08</v>
      </c>
      <c r="N70" s="171">
        <v>5.41</v>
      </c>
      <c r="O70" s="171">
        <f t="shared" si="2"/>
        <v>0.4328</v>
      </c>
      <c r="P70" s="182"/>
      <c r="Q70" s="170"/>
      <c r="R70" s="183">
        <v>0</v>
      </c>
      <c r="S70" s="184">
        <f t="shared" si="3"/>
        <v>0</v>
      </c>
      <c r="T70" s="185"/>
      <c r="U70" s="134">
        <f t="shared" si="0"/>
        <v>0</v>
      </c>
    </row>
    <row r="71" spans="1:21" s="109" customFormat="1" ht="15.75">
      <c r="A71" s="163" t="s">
        <v>11</v>
      </c>
      <c r="B71" s="164">
        <v>3</v>
      </c>
      <c r="C71" s="164"/>
      <c r="D71" s="165"/>
      <c r="E71" s="189" t="s">
        <v>37</v>
      </c>
      <c r="F71" s="167"/>
      <c r="G71" s="181">
        <v>0</v>
      </c>
      <c r="H71" s="169"/>
      <c r="I71" s="170"/>
      <c r="J71" s="171">
        <v>0</v>
      </c>
      <c r="K71" s="171">
        <f t="shared" si="1"/>
        <v>0</v>
      </c>
      <c r="L71" s="169"/>
      <c r="M71" s="170"/>
      <c r="N71" s="171">
        <v>0</v>
      </c>
      <c r="O71" s="171">
        <f t="shared" si="2"/>
        <v>0</v>
      </c>
      <c r="P71" s="172"/>
      <c r="Q71" s="173"/>
      <c r="R71" s="183">
        <v>0</v>
      </c>
      <c r="S71" s="184">
        <f t="shared" si="3"/>
        <v>0</v>
      </c>
      <c r="T71" s="185"/>
      <c r="U71" s="134">
        <f t="shared" si="0"/>
        <v>0</v>
      </c>
    </row>
    <row r="72" spans="1:21" s="109" customFormat="1" ht="15.75">
      <c r="A72" s="163" t="s">
        <v>18</v>
      </c>
      <c r="B72" s="164"/>
      <c r="C72" s="164"/>
      <c r="D72" s="165"/>
      <c r="E72" s="186" t="s">
        <v>51</v>
      </c>
      <c r="F72" s="167"/>
      <c r="G72" s="181">
        <v>0</v>
      </c>
      <c r="H72" s="169"/>
      <c r="I72" s="170"/>
      <c r="J72" s="171">
        <v>0</v>
      </c>
      <c r="K72" s="171">
        <f t="shared" si="1"/>
        <v>0</v>
      </c>
      <c r="L72" s="169"/>
      <c r="M72" s="170"/>
      <c r="N72" s="171">
        <v>0</v>
      </c>
      <c r="O72" s="171">
        <f t="shared" si="2"/>
        <v>0</v>
      </c>
      <c r="P72" s="172"/>
      <c r="Q72" s="173"/>
      <c r="R72" s="183">
        <v>0</v>
      </c>
      <c r="S72" s="184">
        <f t="shared" si="3"/>
        <v>0</v>
      </c>
      <c r="T72" s="185"/>
      <c r="U72" s="134">
        <f t="shared" si="0"/>
        <v>0</v>
      </c>
    </row>
    <row r="73" spans="1:21" s="109" customFormat="1" ht="15.75">
      <c r="A73" s="163" t="s">
        <v>18</v>
      </c>
      <c r="B73" s="164">
        <v>1</v>
      </c>
      <c r="C73" s="164"/>
      <c r="D73" s="165"/>
      <c r="E73" s="186" t="s">
        <v>38</v>
      </c>
      <c r="F73" s="167"/>
      <c r="G73" s="181">
        <v>0</v>
      </c>
      <c r="H73" s="169"/>
      <c r="I73" s="170"/>
      <c r="J73" s="171">
        <v>0</v>
      </c>
      <c r="K73" s="171">
        <f t="shared" si="1"/>
        <v>0</v>
      </c>
      <c r="L73" s="169"/>
      <c r="M73" s="170"/>
      <c r="N73" s="171">
        <v>0</v>
      </c>
      <c r="O73" s="171">
        <f t="shared" si="2"/>
        <v>0</v>
      </c>
      <c r="P73" s="172"/>
      <c r="Q73" s="173"/>
      <c r="R73" s="183">
        <v>0</v>
      </c>
      <c r="S73" s="184">
        <f t="shared" si="3"/>
        <v>0</v>
      </c>
      <c r="T73" s="176"/>
      <c r="U73" s="134">
        <f t="shared" si="0"/>
        <v>0</v>
      </c>
    </row>
    <row r="74" spans="1:21" ht="40.5">
      <c r="A74" s="177" t="s">
        <v>18</v>
      </c>
      <c r="B74" s="178">
        <v>1</v>
      </c>
      <c r="C74" s="178">
        <v>1</v>
      </c>
      <c r="D74" s="179"/>
      <c r="E74" s="193" t="s">
        <v>52</v>
      </c>
      <c r="F74" s="180"/>
      <c r="G74" s="181">
        <v>0</v>
      </c>
      <c r="H74" s="169"/>
      <c r="I74" s="170"/>
      <c r="J74" s="171">
        <v>0</v>
      </c>
      <c r="K74" s="171">
        <f t="shared" si="1"/>
        <v>0</v>
      </c>
      <c r="L74" s="169"/>
      <c r="M74" s="170"/>
      <c r="N74" s="171">
        <v>0</v>
      </c>
      <c r="O74" s="171">
        <f t="shared" si="2"/>
        <v>0</v>
      </c>
      <c r="P74" s="182"/>
      <c r="Q74" s="170"/>
      <c r="R74" s="183">
        <v>0</v>
      </c>
      <c r="S74" s="184">
        <f t="shared" si="3"/>
        <v>0</v>
      </c>
      <c r="T74" s="176"/>
      <c r="U74" s="134">
        <f aca="true" t="shared" si="7" ref="U74:U137">T74*G74</f>
        <v>0</v>
      </c>
    </row>
    <row r="75" spans="1:21" ht="15.75">
      <c r="A75" s="177" t="s">
        <v>18</v>
      </c>
      <c r="B75" s="178">
        <v>1</v>
      </c>
      <c r="C75" s="178">
        <v>1</v>
      </c>
      <c r="D75" s="179">
        <v>1</v>
      </c>
      <c r="E75" s="187" t="s">
        <v>53</v>
      </c>
      <c r="F75" s="180" t="s">
        <v>36</v>
      </c>
      <c r="G75" s="181">
        <v>1.98</v>
      </c>
      <c r="H75" s="169" t="s">
        <v>129</v>
      </c>
      <c r="I75" s="170">
        <f>ROUNDUP(G75*14,0)</f>
        <v>28</v>
      </c>
      <c r="J75" s="171">
        <v>26</v>
      </c>
      <c r="K75" s="171">
        <f t="shared" si="1"/>
        <v>91</v>
      </c>
      <c r="L75" s="169" t="s">
        <v>136</v>
      </c>
      <c r="M75" s="170">
        <f>($G$75*4)</f>
        <v>7.92</v>
      </c>
      <c r="N75" s="171">
        <v>174.77097826086958</v>
      </c>
      <c r="O75" s="171">
        <f t="shared" si="2"/>
        <v>1384.186147826087</v>
      </c>
      <c r="P75" s="182" t="s">
        <v>137</v>
      </c>
      <c r="Q75" s="170">
        <f>ROUNDUP(G75*0.4,0)</f>
        <v>1</v>
      </c>
      <c r="R75" s="183">
        <v>30</v>
      </c>
      <c r="S75" s="184">
        <f t="shared" si="3"/>
        <v>30</v>
      </c>
      <c r="T75" s="185">
        <f>(SUM(K75:K78,O75:O78,S75:S78)/G75)*1.02</f>
        <v>1045.7949457891964</v>
      </c>
      <c r="U75" s="134">
        <f t="shared" si="7"/>
        <v>2070.6739926626087</v>
      </c>
    </row>
    <row r="76" spans="1:21" ht="15.75">
      <c r="A76" s="177"/>
      <c r="B76" s="178"/>
      <c r="C76" s="178"/>
      <c r="D76" s="179"/>
      <c r="E76" s="187"/>
      <c r="F76" s="180"/>
      <c r="G76" s="181"/>
      <c r="H76" s="169" t="s">
        <v>130</v>
      </c>
      <c r="I76" s="170">
        <f>ROUNDUP(G75*0.4,0)</f>
        <v>1</v>
      </c>
      <c r="J76" s="171">
        <v>39</v>
      </c>
      <c r="K76" s="171">
        <f t="shared" si="1"/>
        <v>4.875</v>
      </c>
      <c r="L76" s="169" t="s">
        <v>138</v>
      </c>
      <c r="M76" s="170">
        <f>$G$75*0.78</f>
        <v>1.5444</v>
      </c>
      <c r="N76" s="171">
        <v>262.385</v>
      </c>
      <c r="O76" s="171">
        <f t="shared" si="2"/>
        <v>405.227394</v>
      </c>
      <c r="P76" s="182" t="s">
        <v>140</v>
      </c>
      <c r="Q76" s="170">
        <f>ROUNDUP(G75*0.8,0)</f>
        <v>2</v>
      </c>
      <c r="R76" s="183">
        <v>7</v>
      </c>
      <c r="S76" s="184">
        <f t="shared" si="3"/>
        <v>14</v>
      </c>
      <c r="T76" s="185"/>
      <c r="U76" s="134">
        <f t="shared" si="7"/>
        <v>0</v>
      </c>
    </row>
    <row r="77" spans="1:21" ht="15.75">
      <c r="A77" s="177"/>
      <c r="B77" s="178"/>
      <c r="C77" s="178"/>
      <c r="D77" s="179"/>
      <c r="E77" s="187"/>
      <c r="F77" s="180"/>
      <c r="G77" s="181"/>
      <c r="H77" s="169" t="s">
        <v>135</v>
      </c>
      <c r="I77" s="170">
        <f>ROUNDUP(G75*0.8,0)</f>
        <v>2</v>
      </c>
      <c r="J77" s="171">
        <v>52</v>
      </c>
      <c r="K77" s="171">
        <f t="shared" si="1"/>
        <v>13</v>
      </c>
      <c r="L77" s="169" t="s">
        <v>139</v>
      </c>
      <c r="M77" s="170">
        <f>$G$75*0.52</f>
        <v>1.0296</v>
      </c>
      <c r="N77" s="171">
        <v>80</v>
      </c>
      <c r="O77" s="171">
        <f t="shared" si="2"/>
        <v>82.36800000000001</v>
      </c>
      <c r="P77" s="182"/>
      <c r="Q77" s="170"/>
      <c r="R77" s="183">
        <v>0</v>
      </c>
      <c r="S77" s="184">
        <f t="shared" si="3"/>
        <v>0</v>
      </c>
      <c r="T77" s="188"/>
      <c r="U77" s="134">
        <f t="shared" si="7"/>
        <v>0</v>
      </c>
    </row>
    <row r="78" spans="1:21" ht="15.75">
      <c r="A78" s="177"/>
      <c r="B78" s="178"/>
      <c r="C78" s="178"/>
      <c r="D78" s="179"/>
      <c r="E78" s="187"/>
      <c r="F78" s="180"/>
      <c r="G78" s="181"/>
      <c r="H78" s="169" t="s">
        <v>133</v>
      </c>
      <c r="I78" s="170">
        <f>ROUNDUP(G75*0.4,0)</f>
        <v>1</v>
      </c>
      <c r="J78" s="171">
        <v>39</v>
      </c>
      <c r="K78" s="171">
        <f t="shared" si="1"/>
        <v>4.875</v>
      </c>
      <c r="L78" s="169" t="s">
        <v>131</v>
      </c>
      <c r="M78" s="170">
        <f>(Q75*0.1)</f>
        <v>0.1</v>
      </c>
      <c r="N78" s="171">
        <v>5.41</v>
      </c>
      <c r="O78" s="171">
        <f t="shared" si="2"/>
        <v>0.541</v>
      </c>
      <c r="P78" s="182"/>
      <c r="Q78" s="170"/>
      <c r="R78" s="183">
        <v>0</v>
      </c>
      <c r="S78" s="184">
        <f t="shared" si="3"/>
        <v>0</v>
      </c>
      <c r="T78" s="185"/>
      <c r="U78" s="134">
        <f t="shared" si="7"/>
        <v>0</v>
      </c>
    </row>
    <row r="79" spans="1:21" ht="15.75">
      <c r="A79" s="177" t="s">
        <v>18</v>
      </c>
      <c r="B79" s="178">
        <v>1</v>
      </c>
      <c r="C79" s="178">
        <v>1</v>
      </c>
      <c r="D79" s="179">
        <v>2</v>
      </c>
      <c r="E79" s="187" t="s">
        <v>54</v>
      </c>
      <c r="F79" s="180" t="s">
        <v>36</v>
      </c>
      <c r="G79" s="181">
        <v>4.54</v>
      </c>
      <c r="H79" s="169" t="s">
        <v>129</v>
      </c>
      <c r="I79" s="170">
        <f>ROUNDUP(G79*14,0)</f>
        <v>64</v>
      </c>
      <c r="J79" s="171">
        <v>26</v>
      </c>
      <c r="K79" s="171">
        <f t="shared" si="1"/>
        <v>208</v>
      </c>
      <c r="L79" s="169" t="s">
        <v>136</v>
      </c>
      <c r="M79" s="170">
        <f>($G$79*4)</f>
        <v>18.16</v>
      </c>
      <c r="N79" s="171">
        <v>174.77097826086958</v>
      </c>
      <c r="O79" s="171">
        <f t="shared" si="2"/>
        <v>3173.840965217392</v>
      </c>
      <c r="P79" s="182" t="s">
        <v>137</v>
      </c>
      <c r="Q79" s="170">
        <f>ROUNDUP(G79*0.4,0)</f>
        <v>2</v>
      </c>
      <c r="R79" s="183">
        <v>30</v>
      </c>
      <c r="S79" s="184">
        <f t="shared" si="3"/>
        <v>60</v>
      </c>
      <c r="T79" s="185">
        <f>(SUM(K79:K82,O79:O82,S79:S82)/G79)*1.02</f>
        <v>1041.2188594188856</v>
      </c>
      <c r="U79" s="134">
        <f t="shared" si="7"/>
        <v>4727.133621761741</v>
      </c>
    </row>
    <row r="80" spans="1:21" ht="15.75">
      <c r="A80" s="177"/>
      <c r="B80" s="178"/>
      <c r="C80" s="178"/>
      <c r="D80" s="179"/>
      <c r="E80" s="187"/>
      <c r="F80" s="180"/>
      <c r="G80" s="181"/>
      <c r="H80" s="169" t="s">
        <v>130</v>
      </c>
      <c r="I80" s="170">
        <f>ROUNDUP(G79*0.4,0)</f>
        <v>2</v>
      </c>
      <c r="J80" s="171">
        <v>39</v>
      </c>
      <c r="K80" s="171">
        <f t="shared" si="1"/>
        <v>9.75</v>
      </c>
      <c r="L80" s="169" t="s">
        <v>138</v>
      </c>
      <c r="M80" s="170">
        <f>$G$79*0.78</f>
        <v>3.5412000000000003</v>
      </c>
      <c r="N80" s="171">
        <v>262.385</v>
      </c>
      <c r="O80" s="171">
        <f t="shared" si="2"/>
        <v>929.157762</v>
      </c>
      <c r="P80" s="182" t="s">
        <v>140</v>
      </c>
      <c r="Q80" s="170">
        <f>ROUNDUP(G79*0.8,0)</f>
        <v>4</v>
      </c>
      <c r="R80" s="183">
        <v>7</v>
      </c>
      <c r="S80" s="184">
        <f t="shared" si="3"/>
        <v>28</v>
      </c>
      <c r="T80" s="185"/>
      <c r="U80" s="134">
        <f t="shared" si="7"/>
        <v>0</v>
      </c>
    </row>
    <row r="81" spans="1:21" ht="15.75">
      <c r="A81" s="177"/>
      <c r="B81" s="178"/>
      <c r="C81" s="178"/>
      <c r="D81" s="179"/>
      <c r="E81" s="187"/>
      <c r="F81" s="180"/>
      <c r="G81" s="181"/>
      <c r="H81" s="169" t="s">
        <v>135</v>
      </c>
      <c r="I81" s="170">
        <f>ROUNDUP(G79*0.8,0)</f>
        <v>4</v>
      </c>
      <c r="J81" s="171">
        <v>52</v>
      </c>
      <c r="K81" s="171">
        <f aca="true" t="shared" si="8" ref="K81:K147">I81*J81/8</f>
        <v>26</v>
      </c>
      <c r="L81" s="169" t="s">
        <v>139</v>
      </c>
      <c r="M81" s="170">
        <f>$G$79*0.52</f>
        <v>2.3608000000000002</v>
      </c>
      <c r="N81" s="171">
        <v>80</v>
      </c>
      <c r="O81" s="171">
        <f aca="true" t="shared" si="9" ref="O81:O147">M81*N81</f>
        <v>188.86400000000003</v>
      </c>
      <c r="P81" s="182"/>
      <c r="Q81" s="170"/>
      <c r="R81" s="183">
        <v>0</v>
      </c>
      <c r="S81" s="184">
        <f aca="true" t="shared" si="10" ref="S81:S147">R81*Q81</f>
        <v>0</v>
      </c>
      <c r="T81" s="188"/>
      <c r="U81" s="134">
        <f t="shared" si="7"/>
        <v>0</v>
      </c>
    </row>
    <row r="82" spans="1:21" ht="15.75">
      <c r="A82" s="177"/>
      <c r="B82" s="178"/>
      <c r="C82" s="178"/>
      <c r="D82" s="179"/>
      <c r="E82" s="187"/>
      <c r="F82" s="180"/>
      <c r="G82" s="181"/>
      <c r="H82" s="169" t="s">
        <v>133</v>
      </c>
      <c r="I82" s="170">
        <f>ROUNDUP(G79*0.4,0)</f>
        <v>2</v>
      </c>
      <c r="J82" s="171">
        <v>39</v>
      </c>
      <c r="K82" s="171">
        <f t="shared" si="8"/>
        <v>9.75</v>
      </c>
      <c r="L82" s="169" t="s">
        <v>131</v>
      </c>
      <c r="M82" s="170">
        <f>(Q79*0.1)</f>
        <v>0.2</v>
      </c>
      <c r="N82" s="171">
        <v>5.41</v>
      </c>
      <c r="O82" s="171">
        <f t="shared" si="9"/>
        <v>1.082</v>
      </c>
      <c r="P82" s="182"/>
      <c r="Q82" s="170"/>
      <c r="R82" s="183">
        <v>0</v>
      </c>
      <c r="S82" s="184">
        <f t="shared" si="10"/>
        <v>0</v>
      </c>
      <c r="T82" s="185"/>
      <c r="U82" s="134">
        <f t="shared" si="7"/>
        <v>0</v>
      </c>
    </row>
    <row r="83" spans="1:21" s="109" customFormat="1" ht="15.75">
      <c r="A83" s="163" t="s">
        <v>18</v>
      </c>
      <c r="B83" s="164">
        <v>1</v>
      </c>
      <c r="C83" s="164">
        <v>2</v>
      </c>
      <c r="D83" s="165"/>
      <c r="E83" s="194" t="s">
        <v>43</v>
      </c>
      <c r="F83" s="167"/>
      <c r="G83" s="181">
        <v>0</v>
      </c>
      <c r="H83" s="169"/>
      <c r="I83" s="170"/>
      <c r="J83" s="171">
        <v>0</v>
      </c>
      <c r="K83" s="171">
        <f t="shared" si="8"/>
        <v>0</v>
      </c>
      <c r="L83" s="169"/>
      <c r="M83" s="170"/>
      <c r="N83" s="171">
        <v>0</v>
      </c>
      <c r="O83" s="171">
        <f t="shared" si="9"/>
        <v>0</v>
      </c>
      <c r="P83" s="182"/>
      <c r="Q83" s="170"/>
      <c r="R83" s="183">
        <v>0</v>
      </c>
      <c r="S83" s="184">
        <f t="shared" si="10"/>
        <v>0</v>
      </c>
      <c r="T83" s="185"/>
      <c r="U83" s="134">
        <f t="shared" si="7"/>
        <v>0</v>
      </c>
    </row>
    <row r="84" spans="1:21" ht="40.5">
      <c r="A84" s="177" t="s">
        <v>18</v>
      </c>
      <c r="B84" s="178">
        <v>1</v>
      </c>
      <c r="C84" s="178">
        <v>2</v>
      </c>
      <c r="D84" s="179"/>
      <c r="E84" s="191" t="s">
        <v>44</v>
      </c>
      <c r="F84" s="180"/>
      <c r="G84" s="181">
        <v>0</v>
      </c>
      <c r="H84" s="169"/>
      <c r="I84" s="170"/>
      <c r="J84" s="171">
        <v>0</v>
      </c>
      <c r="K84" s="171">
        <f t="shared" si="8"/>
        <v>0</v>
      </c>
      <c r="L84" s="169"/>
      <c r="M84" s="170"/>
      <c r="N84" s="171">
        <v>0</v>
      </c>
      <c r="O84" s="171">
        <f t="shared" si="9"/>
        <v>0</v>
      </c>
      <c r="P84" s="182"/>
      <c r="Q84" s="170"/>
      <c r="R84" s="183">
        <v>0</v>
      </c>
      <c r="S84" s="184">
        <f t="shared" si="10"/>
        <v>0</v>
      </c>
      <c r="T84" s="185"/>
      <c r="U84" s="134">
        <f t="shared" si="7"/>
        <v>0</v>
      </c>
    </row>
    <row r="85" spans="1:21" ht="15.75">
      <c r="A85" s="177" t="s">
        <v>18</v>
      </c>
      <c r="B85" s="178">
        <v>1</v>
      </c>
      <c r="C85" s="178">
        <v>2</v>
      </c>
      <c r="D85" s="179">
        <v>1</v>
      </c>
      <c r="E85" s="187" t="s">
        <v>55</v>
      </c>
      <c r="F85" s="180" t="s">
        <v>35</v>
      </c>
      <c r="G85" s="181">
        <v>10.32</v>
      </c>
      <c r="H85" s="169" t="s">
        <v>129</v>
      </c>
      <c r="I85" s="170">
        <f>ROUNDUP(G85*1,0)</f>
        <v>11</v>
      </c>
      <c r="J85" s="171">
        <v>26</v>
      </c>
      <c r="K85" s="171">
        <f t="shared" si="8"/>
        <v>35.75</v>
      </c>
      <c r="L85" s="169" t="s">
        <v>141</v>
      </c>
      <c r="M85" s="170">
        <f>G85*8</f>
        <v>82.56</v>
      </c>
      <c r="N85" s="171">
        <v>0.1</v>
      </c>
      <c r="O85" s="171">
        <f t="shared" si="9"/>
        <v>8.256</v>
      </c>
      <c r="P85" s="182"/>
      <c r="Q85" s="170"/>
      <c r="R85" s="183">
        <v>0</v>
      </c>
      <c r="S85" s="184">
        <f t="shared" si="10"/>
        <v>0</v>
      </c>
      <c r="T85" s="185">
        <f>(SUM(K85:K89,O85:O89,S85:S89)/G85)*1.02</f>
        <v>40.46454307201424</v>
      </c>
      <c r="U85" s="134">
        <f t="shared" si="7"/>
        <v>417.59408450318693</v>
      </c>
    </row>
    <row r="86" spans="1:21" ht="15.75">
      <c r="A86" s="177"/>
      <c r="B86" s="178"/>
      <c r="C86" s="178"/>
      <c r="D86" s="179"/>
      <c r="E86" s="187"/>
      <c r="F86" s="180"/>
      <c r="G86" s="181"/>
      <c r="H86" s="169" t="s">
        <v>142</v>
      </c>
      <c r="I86" s="170">
        <f>ROUNDUP(G85*0.5,0)</f>
        <v>6</v>
      </c>
      <c r="J86" s="171">
        <v>52</v>
      </c>
      <c r="K86" s="171">
        <f t="shared" si="8"/>
        <v>39</v>
      </c>
      <c r="L86" s="192" t="s">
        <v>143</v>
      </c>
      <c r="M86" s="170">
        <f>G85*0.21</f>
        <v>2.1672</v>
      </c>
      <c r="N86" s="171">
        <v>4.742103696256244</v>
      </c>
      <c r="O86" s="171">
        <f t="shared" si="9"/>
        <v>10.277087130526532</v>
      </c>
      <c r="P86" s="182"/>
      <c r="Q86" s="170"/>
      <c r="R86" s="183">
        <v>0</v>
      </c>
      <c r="S86" s="184">
        <f t="shared" si="10"/>
        <v>0</v>
      </c>
      <c r="T86" s="185"/>
      <c r="U86" s="134">
        <f t="shared" si="7"/>
        <v>0</v>
      </c>
    </row>
    <row r="87" spans="1:21" ht="15.75">
      <c r="A87" s="177"/>
      <c r="B87" s="178"/>
      <c r="C87" s="178"/>
      <c r="D87" s="179"/>
      <c r="E87" s="187"/>
      <c r="F87" s="180"/>
      <c r="G87" s="181"/>
      <c r="H87" s="169" t="s">
        <v>144</v>
      </c>
      <c r="I87" s="170">
        <f>ROUNDUP(G85*0.5,0)</f>
        <v>6</v>
      </c>
      <c r="J87" s="171">
        <v>39</v>
      </c>
      <c r="K87" s="171">
        <f t="shared" si="8"/>
        <v>29.25</v>
      </c>
      <c r="L87" s="169" t="s">
        <v>145</v>
      </c>
      <c r="M87" s="170">
        <f>G85*4.6</f>
        <v>47.471999999999994</v>
      </c>
      <c r="N87" s="171">
        <v>5.242103696256244</v>
      </c>
      <c r="O87" s="171">
        <f t="shared" si="9"/>
        <v>248.85314666867637</v>
      </c>
      <c r="P87" s="182"/>
      <c r="Q87" s="170"/>
      <c r="R87" s="183">
        <v>0</v>
      </c>
      <c r="S87" s="184">
        <f t="shared" si="10"/>
        <v>0</v>
      </c>
      <c r="T87" s="188"/>
      <c r="U87" s="134">
        <f t="shared" si="7"/>
        <v>0</v>
      </c>
    </row>
    <row r="88" spans="1:21" ht="15.75">
      <c r="A88" s="177"/>
      <c r="B88" s="178"/>
      <c r="C88" s="178"/>
      <c r="D88" s="179"/>
      <c r="E88" s="187"/>
      <c r="F88" s="180"/>
      <c r="G88" s="181"/>
      <c r="H88" s="169"/>
      <c r="I88" s="170"/>
      <c r="J88" s="171">
        <v>0</v>
      </c>
      <c r="K88" s="171">
        <f t="shared" si="8"/>
        <v>0</v>
      </c>
      <c r="L88" s="169" t="s">
        <v>146</v>
      </c>
      <c r="M88" s="170">
        <f>G85*0.3</f>
        <v>3.096</v>
      </c>
      <c r="N88" s="171">
        <v>12.080275</v>
      </c>
      <c r="O88" s="171">
        <f t="shared" si="9"/>
        <v>37.400531400000006</v>
      </c>
      <c r="P88" s="182"/>
      <c r="Q88" s="170"/>
      <c r="R88" s="183">
        <v>0</v>
      </c>
      <c r="S88" s="184">
        <f t="shared" si="10"/>
        <v>0</v>
      </c>
      <c r="T88" s="185"/>
      <c r="U88" s="134">
        <f t="shared" si="7"/>
        <v>0</v>
      </c>
    </row>
    <row r="89" spans="1:21" ht="15.75">
      <c r="A89" s="177"/>
      <c r="B89" s="178"/>
      <c r="C89" s="178"/>
      <c r="D89" s="179"/>
      <c r="E89" s="187"/>
      <c r="F89" s="180"/>
      <c r="G89" s="181"/>
      <c r="H89" s="169"/>
      <c r="I89" s="170"/>
      <c r="J89" s="171">
        <v>0</v>
      </c>
      <c r="K89" s="171">
        <f t="shared" si="8"/>
        <v>0</v>
      </c>
      <c r="L89" s="169" t="s">
        <v>147</v>
      </c>
      <c r="M89" s="170">
        <f>G85*0.06</f>
        <v>0.6192</v>
      </c>
      <c r="N89" s="171">
        <v>1</v>
      </c>
      <c r="O89" s="171">
        <f t="shared" si="9"/>
        <v>0.6192</v>
      </c>
      <c r="P89" s="182"/>
      <c r="Q89" s="170"/>
      <c r="R89" s="183">
        <v>0</v>
      </c>
      <c r="S89" s="184">
        <f t="shared" si="10"/>
        <v>0</v>
      </c>
      <c r="T89" s="185"/>
      <c r="U89" s="134">
        <f t="shared" si="7"/>
        <v>0</v>
      </c>
    </row>
    <row r="90" spans="1:21" ht="15.75">
      <c r="A90" s="177" t="s">
        <v>18</v>
      </c>
      <c r="B90" s="178">
        <v>1</v>
      </c>
      <c r="C90" s="178">
        <v>2</v>
      </c>
      <c r="D90" s="179">
        <v>2</v>
      </c>
      <c r="E90" s="187" t="s">
        <v>356</v>
      </c>
      <c r="F90" s="180" t="s">
        <v>35</v>
      </c>
      <c r="G90" s="181">
        <v>55.959999999999994</v>
      </c>
      <c r="H90" s="169" t="s">
        <v>129</v>
      </c>
      <c r="I90" s="170">
        <f>ROUNDUP(G90*1,0)</f>
        <v>56</v>
      </c>
      <c r="J90" s="171">
        <v>26</v>
      </c>
      <c r="K90" s="171">
        <f t="shared" si="8"/>
        <v>182</v>
      </c>
      <c r="L90" s="169" t="s">
        <v>141</v>
      </c>
      <c r="M90" s="170">
        <f>G90*8</f>
        <v>447.67999999999995</v>
      </c>
      <c r="N90" s="171">
        <v>0.1</v>
      </c>
      <c r="O90" s="171">
        <f t="shared" si="9"/>
        <v>44.768</v>
      </c>
      <c r="P90" s="182"/>
      <c r="Q90" s="170"/>
      <c r="R90" s="183">
        <v>0</v>
      </c>
      <c r="S90" s="184">
        <f t="shared" si="10"/>
        <v>0</v>
      </c>
      <c r="T90" s="185">
        <f>(SUM(K90:K95,O90:O95,S90:S95)/G90)*1.02</f>
        <v>91.80006707183061</v>
      </c>
      <c r="U90" s="134">
        <f t="shared" si="7"/>
        <v>5137.13175333964</v>
      </c>
    </row>
    <row r="91" spans="1:21" ht="15.75">
      <c r="A91" s="177"/>
      <c r="B91" s="178"/>
      <c r="C91" s="178"/>
      <c r="D91" s="179"/>
      <c r="E91" s="187"/>
      <c r="F91" s="180"/>
      <c r="G91" s="181"/>
      <c r="H91" s="169" t="s">
        <v>142</v>
      </c>
      <c r="I91" s="170">
        <f>ROUNDUP(G90*0.5,0)</f>
        <v>28</v>
      </c>
      <c r="J91" s="171">
        <v>52</v>
      </c>
      <c r="K91" s="171">
        <f t="shared" si="8"/>
        <v>182</v>
      </c>
      <c r="L91" s="192" t="s">
        <v>143</v>
      </c>
      <c r="M91" s="170">
        <f>G90*2.1</f>
        <v>117.51599999999999</v>
      </c>
      <c r="N91" s="171">
        <v>4.742103696256244</v>
      </c>
      <c r="O91" s="171">
        <f t="shared" si="9"/>
        <v>557.2730579692487</v>
      </c>
      <c r="P91" s="182"/>
      <c r="Q91" s="170"/>
      <c r="R91" s="183">
        <v>0</v>
      </c>
      <c r="S91" s="184">
        <f t="shared" si="10"/>
        <v>0</v>
      </c>
      <c r="T91" s="185"/>
      <c r="U91" s="134">
        <f t="shared" si="7"/>
        <v>0</v>
      </c>
    </row>
    <row r="92" spans="1:21" ht="15.75">
      <c r="A92" s="177"/>
      <c r="B92" s="178"/>
      <c r="C92" s="178"/>
      <c r="D92" s="179"/>
      <c r="E92" s="187"/>
      <c r="F92" s="180"/>
      <c r="G92" s="181"/>
      <c r="H92" s="169" t="s">
        <v>144</v>
      </c>
      <c r="I92" s="170">
        <f>ROUNDUP(G90*0.5,0)</f>
        <v>28</v>
      </c>
      <c r="J92" s="171">
        <v>39</v>
      </c>
      <c r="K92" s="171">
        <f t="shared" si="8"/>
        <v>136.5</v>
      </c>
      <c r="L92" s="169" t="s">
        <v>145</v>
      </c>
      <c r="M92" s="170">
        <f>G90*4.6</f>
        <v>257.41599999999994</v>
      </c>
      <c r="N92" s="171">
        <v>5.242103696256244</v>
      </c>
      <c r="O92" s="171">
        <f t="shared" si="9"/>
        <v>1349.4013650754969</v>
      </c>
      <c r="P92" s="182"/>
      <c r="Q92" s="170"/>
      <c r="R92" s="183">
        <v>0</v>
      </c>
      <c r="S92" s="184">
        <f t="shared" si="10"/>
        <v>0</v>
      </c>
      <c r="T92" s="188"/>
      <c r="U92" s="134">
        <f t="shared" si="7"/>
        <v>0</v>
      </c>
    </row>
    <row r="93" spans="1:21" ht="15.75">
      <c r="A93" s="177"/>
      <c r="B93" s="178"/>
      <c r="C93" s="178"/>
      <c r="D93" s="179"/>
      <c r="E93" s="187"/>
      <c r="F93" s="180"/>
      <c r="G93" s="181"/>
      <c r="H93" s="169"/>
      <c r="I93" s="170"/>
      <c r="J93" s="171">
        <v>0</v>
      </c>
      <c r="K93" s="171">
        <f t="shared" si="8"/>
        <v>0</v>
      </c>
      <c r="L93" s="169" t="s">
        <v>146</v>
      </c>
      <c r="M93" s="170">
        <f>G90*0.3</f>
        <v>16.787999999999997</v>
      </c>
      <c r="N93" s="171">
        <v>12.080275</v>
      </c>
      <c r="O93" s="171">
        <f t="shared" si="9"/>
        <v>202.80365669999998</v>
      </c>
      <c r="P93" s="182"/>
      <c r="Q93" s="170"/>
      <c r="R93" s="183">
        <v>0</v>
      </c>
      <c r="S93" s="184">
        <f t="shared" si="10"/>
        <v>0</v>
      </c>
      <c r="T93" s="185"/>
      <c r="U93" s="134">
        <f t="shared" si="7"/>
        <v>0</v>
      </c>
    </row>
    <row r="94" spans="1:21" ht="15.75">
      <c r="A94" s="177"/>
      <c r="B94" s="178"/>
      <c r="C94" s="178"/>
      <c r="D94" s="179"/>
      <c r="E94" s="187"/>
      <c r="F94" s="180"/>
      <c r="G94" s="181"/>
      <c r="H94" s="169"/>
      <c r="I94" s="170"/>
      <c r="J94" s="171">
        <v>0</v>
      </c>
      <c r="K94" s="171">
        <f t="shared" si="8"/>
        <v>0</v>
      </c>
      <c r="L94" s="169" t="s">
        <v>147</v>
      </c>
      <c r="M94" s="170">
        <f>G90*0.06</f>
        <v>3.3575999999999997</v>
      </c>
      <c r="N94" s="171">
        <v>1</v>
      </c>
      <c r="O94" s="171">
        <f t="shared" si="9"/>
        <v>3.3575999999999997</v>
      </c>
      <c r="P94" s="182"/>
      <c r="Q94" s="170"/>
      <c r="R94" s="183">
        <v>0</v>
      </c>
      <c r="S94" s="184">
        <f t="shared" si="10"/>
        <v>0</v>
      </c>
      <c r="T94" s="185"/>
      <c r="U94" s="134">
        <f t="shared" si="7"/>
        <v>0</v>
      </c>
    </row>
    <row r="95" spans="1:21" ht="15.75">
      <c r="A95" s="177"/>
      <c r="B95" s="178"/>
      <c r="C95" s="178"/>
      <c r="D95" s="179"/>
      <c r="E95" s="187"/>
      <c r="F95" s="180"/>
      <c r="G95" s="181"/>
      <c r="H95" s="169"/>
      <c r="I95" s="170"/>
      <c r="J95" s="171">
        <v>0</v>
      </c>
      <c r="K95" s="171">
        <f t="shared" si="8"/>
        <v>0</v>
      </c>
      <c r="L95" s="169" t="s">
        <v>148</v>
      </c>
      <c r="M95" s="170">
        <f>G90*0.01</f>
        <v>0.5596</v>
      </c>
      <c r="N95" s="171">
        <v>4250</v>
      </c>
      <c r="O95" s="171">
        <f t="shared" si="9"/>
        <v>2378.2999999999997</v>
      </c>
      <c r="P95" s="182"/>
      <c r="Q95" s="170"/>
      <c r="R95" s="183">
        <v>0</v>
      </c>
      <c r="S95" s="184">
        <f t="shared" si="10"/>
        <v>0</v>
      </c>
      <c r="T95" s="185"/>
      <c r="U95" s="134">
        <f t="shared" si="7"/>
        <v>0</v>
      </c>
    </row>
    <row r="96" spans="1:21" ht="15.75">
      <c r="A96" s="177" t="s">
        <v>18</v>
      </c>
      <c r="B96" s="178">
        <v>1</v>
      </c>
      <c r="C96" s="178">
        <v>2</v>
      </c>
      <c r="D96" s="179">
        <v>2</v>
      </c>
      <c r="E96" s="187" t="s">
        <v>357</v>
      </c>
      <c r="F96" s="180" t="s">
        <v>35</v>
      </c>
      <c r="G96" s="181">
        <v>55.959999999999994</v>
      </c>
      <c r="H96" s="169" t="s">
        <v>129</v>
      </c>
      <c r="I96" s="170">
        <f>ROUNDUP(G96*1,0)</f>
        <v>56</v>
      </c>
      <c r="J96" s="171">
        <v>26</v>
      </c>
      <c r="K96" s="171">
        <f>I96*J96/40</f>
        <v>36.4</v>
      </c>
      <c r="L96" s="169"/>
      <c r="M96" s="170"/>
      <c r="N96" s="171">
        <v>0.1</v>
      </c>
      <c r="O96" s="171">
        <f>M96*N96</f>
        <v>0</v>
      </c>
      <c r="P96" s="182"/>
      <c r="Q96" s="170"/>
      <c r="R96" s="183">
        <v>0</v>
      </c>
      <c r="S96" s="184">
        <f>R96*Q96</f>
        <v>0</v>
      </c>
      <c r="T96" s="185">
        <f>(SUM(K96:K98,O96:O98,S96:S98)/G96)*1.02</f>
        <v>1.824553252323088</v>
      </c>
      <c r="U96" s="134">
        <f t="shared" si="7"/>
        <v>102.102</v>
      </c>
    </row>
    <row r="97" spans="1:21" ht="15.75">
      <c r="A97" s="177"/>
      <c r="B97" s="178"/>
      <c r="C97" s="178"/>
      <c r="D97" s="179"/>
      <c r="E97" s="187"/>
      <c r="F97" s="180"/>
      <c r="G97" s="181"/>
      <c r="H97" s="169" t="s">
        <v>142</v>
      </c>
      <c r="I97" s="170">
        <f>ROUNDUP(G96*0.5,0)</f>
        <v>28</v>
      </c>
      <c r="J97" s="171">
        <v>52</v>
      </c>
      <c r="K97" s="171">
        <f>I97*J97/40</f>
        <v>36.4</v>
      </c>
      <c r="L97" s="192"/>
      <c r="M97" s="170"/>
      <c r="N97" s="171">
        <v>4.742103696256244</v>
      </c>
      <c r="O97" s="171">
        <f>M97*N97</f>
        <v>0</v>
      </c>
      <c r="P97" s="182"/>
      <c r="Q97" s="170"/>
      <c r="R97" s="183">
        <v>0</v>
      </c>
      <c r="S97" s="184">
        <f>R97*Q97</f>
        <v>0</v>
      </c>
      <c r="T97" s="185"/>
      <c r="U97" s="134">
        <f t="shared" si="7"/>
        <v>0</v>
      </c>
    </row>
    <row r="98" spans="1:21" ht="15.75">
      <c r="A98" s="177"/>
      <c r="B98" s="178"/>
      <c r="C98" s="178"/>
      <c r="D98" s="179"/>
      <c r="E98" s="187"/>
      <c r="F98" s="180"/>
      <c r="G98" s="181"/>
      <c r="H98" s="169" t="s">
        <v>144</v>
      </c>
      <c r="I98" s="170">
        <f>ROUNDUP(G96*0.5,0)</f>
        <v>28</v>
      </c>
      <c r="J98" s="171">
        <v>39</v>
      </c>
      <c r="K98" s="171">
        <f>I98*J98/40</f>
        <v>27.3</v>
      </c>
      <c r="L98" s="169"/>
      <c r="M98" s="170"/>
      <c r="N98" s="171">
        <v>5.242103696256244</v>
      </c>
      <c r="O98" s="171">
        <f>M98*N98</f>
        <v>0</v>
      </c>
      <c r="P98" s="182"/>
      <c r="Q98" s="170"/>
      <c r="R98" s="183">
        <v>0</v>
      </c>
      <c r="S98" s="184">
        <f>R98*Q98</f>
        <v>0</v>
      </c>
      <c r="T98" s="188"/>
      <c r="U98" s="134">
        <f t="shared" si="7"/>
        <v>0</v>
      </c>
    </row>
    <row r="99" spans="1:21" s="109" customFormat="1" ht="15.75">
      <c r="A99" s="163" t="s">
        <v>18</v>
      </c>
      <c r="B99" s="164">
        <v>1</v>
      </c>
      <c r="C99" s="164">
        <v>3</v>
      </c>
      <c r="D99" s="165"/>
      <c r="E99" s="186" t="s">
        <v>57</v>
      </c>
      <c r="F99" s="180"/>
      <c r="G99" s="181">
        <v>0</v>
      </c>
      <c r="H99" s="169"/>
      <c r="I99" s="170"/>
      <c r="J99" s="171">
        <v>0</v>
      </c>
      <c r="K99" s="171">
        <f t="shared" si="8"/>
        <v>0</v>
      </c>
      <c r="L99" s="169"/>
      <c r="M99" s="170"/>
      <c r="N99" s="171">
        <v>0</v>
      </c>
      <c r="O99" s="171">
        <f t="shared" si="9"/>
        <v>0</v>
      </c>
      <c r="P99" s="182"/>
      <c r="Q99" s="170"/>
      <c r="R99" s="183">
        <v>0</v>
      </c>
      <c r="S99" s="184">
        <f t="shared" si="10"/>
        <v>0</v>
      </c>
      <c r="T99" s="185"/>
      <c r="U99" s="134">
        <f t="shared" si="7"/>
        <v>0</v>
      </c>
    </row>
    <row r="100" spans="1:21" ht="54">
      <c r="A100" s="177" t="s">
        <v>18</v>
      </c>
      <c r="B100" s="178">
        <v>1</v>
      </c>
      <c r="C100" s="178">
        <v>3</v>
      </c>
      <c r="D100" s="179"/>
      <c r="E100" s="190" t="s">
        <v>423</v>
      </c>
      <c r="F100" s="180"/>
      <c r="G100" s="181">
        <v>0</v>
      </c>
      <c r="H100" s="169"/>
      <c r="I100" s="170"/>
      <c r="J100" s="171">
        <v>0</v>
      </c>
      <c r="K100" s="171">
        <f t="shared" si="8"/>
        <v>0</v>
      </c>
      <c r="L100" s="169"/>
      <c r="M100" s="170"/>
      <c r="N100" s="171">
        <v>0</v>
      </c>
      <c r="O100" s="171">
        <f t="shared" si="9"/>
        <v>0</v>
      </c>
      <c r="P100" s="182"/>
      <c r="Q100" s="170"/>
      <c r="R100" s="183">
        <v>0</v>
      </c>
      <c r="S100" s="184">
        <f t="shared" si="10"/>
        <v>0</v>
      </c>
      <c r="T100" s="185"/>
      <c r="U100" s="134">
        <f t="shared" si="7"/>
        <v>0</v>
      </c>
    </row>
    <row r="101" spans="1:21" ht="15.75">
      <c r="A101" s="177" t="s">
        <v>18</v>
      </c>
      <c r="B101" s="178">
        <v>1</v>
      </c>
      <c r="C101" s="178">
        <v>3</v>
      </c>
      <c r="D101" s="179">
        <v>1</v>
      </c>
      <c r="E101" s="187" t="s">
        <v>58</v>
      </c>
      <c r="F101" s="180" t="s">
        <v>47</v>
      </c>
      <c r="G101" s="181">
        <v>0</v>
      </c>
      <c r="H101" s="169" t="s">
        <v>129</v>
      </c>
      <c r="I101" s="170">
        <f>ROUNDUP(G101*0.09,0)</f>
        <v>0</v>
      </c>
      <c r="J101" s="171">
        <v>26</v>
      </c>
      <c r="K101" s="171">
        <f t="shared" si="8"/>
        <v>0</v>
      </c>
      <c r="L101" s="169" t="s">
        <v>149</v>
      </c>
      <c r="M101" s="170">
        <f>G101*1.02</f>
        <v>0</v>
      </c>
      <c r="N101" s="171">
        <v>10.425275000000001</v>
      </c>
      <c r="O101" s="171">
        <f t="shared" si="9"/>
        <v>0</v>
      </c>
      <c r="P101" s="182"/>
      <c r="Q101" s="170"/>
      <c r="R101" s="183">
        <v>0</v>
      </c>
      <c r="S101" s="184">
        <f t="shared" si="10"/>
        <v>0</v>
      </c>
      <c r="T101" s="185"/>
      <c r="U101" s="134">
        <f t="shared" si="7"/>
        <v>0</v>
      </c>
    </row>
    <row r="102" spans="1:21" ht="15.75">
      <c r="A102" s="177"/>
      <c r="B102" s="178"/>
      <c r="C102" s="178"/>
      <c r="D102" s="179"/>
      <c r="E102" s="187"/>
      <c r="F102" s="180"/>
      <c r="G102" s="181"/>
      <c r="H102" s="169" t="s">
        <v>150</v>
      </c>
      <c r="I102" s="170">
        <f>ROUNDUP(G101*0.02,0)</f>
        <v>0</v>
      </c>
      <c r="J102" s="171">
        <v>52</v>
      </c>
      <c r="K102" s="171">
        <f t="shared" si="8"/>
        <v>0</v>
      </c>
      <c r="L102" s="169" t="s">
        <v>151</v>
      </c>
      <c r="M102" s="170">
        <f>G101*0.02</f>
        <v>0</v>
      </c>
      <c r="N102" s="171">
        <v>12.080275</v>
      </c>
      <c r="O102" s="171">
        <f t="shared" si="9"/>
        <v>0</v>
      </c>
      <c r="P102" s="182"/>
      <c r="Q102" s="170"/>
      <c r="R102" s="183">
        <v>0</v>
      </c>
      <c r="S102" s="184">
        <f t="shared" si="10"/>
        <v>0</v>
      </c>
      <c r="T102" s="185"/>
      <c r="U102" s="134">
        <f t="shared" si="7"/>
        <v>0</v>
      </c>
    </row>
    <row r="103" spans="1:21" ht="15.75">
      <c r="A103" s="177"/>
      <c r="B103" s="178"/>
      <c r="C103" s="178"/>
      <c r="D103" s="179"/>
      <c r="E103" s="187"/>
      <c r="F103" s="180"/>
      <c r="G103" s="181"/>
      <c r="H103" s="169" t="s">
        <v>152</v>
      </c>
      <c r="I103" s="170">
        <f>ROUNDUP(G101*0.02,0)</f>
        <v>0</v>
      </c>
      <c r="J103" s="171">
        <v>39</v>
      </c>
      <c r="K103" s="171">
        <f t="shared" si="8"/>
        <v>0</v>
      </c>
      <c r="L103" s="169"/>
      <c r="M103" s="170"/>
      <c r="N103" s="171">
        <v>0</v>
      </c>
      <c r="O103" s="171">
        <f t="shared" si="9"/>
        <v>0</v>
      </c>
      <c r="P103" s="182"/>
      <c r="Q103" s="170"/>
      <c r="R103" s="183">
        <v>0</v>
      </c>
      <c r="S103" s="184">
        <f t="shared" si="10"/>
        <v>0</v>
      </c>
      <c r="T103" s="188"/>
      <c r="U103" s="134">
        <f t="shared" si="7"/>
        <v>0</v>
      </c>
    </row>
    <row r="104" spans="1:21" ht="15.75">
      <c r="A104" s="177" t="s">
        <v>18</v>
      </c>
      <c r="B104" s="178">
        <v>1</v>
      </c>
      <c r="C104" s="178">
        <v>3</v>
      </c>
      <c r="D104" s="179">
        <v>2</v>
      </c>
      <c r="E104" s="193" t="s">
        <v>48</v>
      </c>
      <c r="F104" s="180" t="s">
        <v>47</v>
      </c>
      <c r="G104" s="181">
        <v>77.6965</v>
      </c>
      <c r="H104" s="169" t="s">
        <v>129</v>
      </c>
      <c r="I104" s="170">
        <f>ROUNDUP(G104*0.09,0)</f>
        <v>7</v>
      </c>
      <c r="J104" s="171">
        <v>26</v>
      </c>
      <c r="K104" s="171">
        <f t="shared" si="8"/>
        <v>22.75</v>
      </c>
      <c r="L104" s="169" t="s">
        <v>153</v>
      </c>
      <c r="M104" s="170">
        <f>G104*1.02</f>
        <v>79.25043000000001</v>
      </c>
      <c r="N104" s="171">
        <v>10.425275000000001</v>
      </c>
      <c r="O104" s="171">
        <f t="shared" si="9"/>
        <v>826.2075266182502</v>
      </c>
      <c r="P104" s="182"/>
      <c r="Q104" s="170"/>
      <c r="R104" s="183">
        <v>0</v>
      </c>
      <c r="S104" s="184">
        <f t="shared" si="10"/>
        <v>0</v>
      </c>
      <c r="T104" s="185">
        <f>IF(G104=0,0,(SUM(K104:K106,O104:O106,S104:S106)/G104)*1.02)</f>
        <v>11.690217923792964</v>
      </c>
      <c r="U104" s="134">
        <f t="shared" si="7"/>
        <v>908.28901691598</v>
      </c>
    </row>
    <row r="105" spans="1:21" ht="15.75">
      <c r="A105" s="177"/>
      <c r="B105" s="178"/>
      <c r="C105" s="178"/>
      <c r="D105" s="179"/>
      <c r="E105" s="193"/>
      <c r="F105" s="180"/>
      <c r="G105" s="181"/>
      <c r="H105" s="169" t="s">
        <v>150</v>
      </c>
      <c r="I105" s="170">
        <f>ROUNDUP(G104*0.02,0)</f>
        <v>2</v>
      </c>
      <c r="J105" s="171">
        <v>52</v>
      </c>
      <c r="K105" s="171">
        <f t="shared" si="8"/>
        <v>13</v>
      </c>
      <c r="L105" s="169" t="s">
        <v>151</v>
      </c>
      <c r="M105" s="170">
        <f>G104*0.02</f>
        <v>1.55393</v>
      </c>
      <c r="N105" s="171">
        <v>12.080275</v>
      </c>
      <c r="O105" s="171">
        <f t="shared" si="9"/>
        <v>18.771901730750002</v>
      </c>
      <c r="P105" s="182"/>
      <c r="Q105" s="170"/>
      <c r="R105" s="183">
        <v>0</v>
      </c>
      <c r="S105" s="184">
        <f t="shared" si="10"/>
        <v>0</v>
      </c>
      <c r="T105" s="185"/>
      <c r="U105" s="134">
        <f t="shared" si="7"/>
        <v>0</v>
      </c>
    </row>
    <row r="106" spans="1:21" ht="15.75">
      <c r="A106" s="177"/>
      <c r="B106" s="178"/>
      <c r="C106" s="178"/>
      <c r="D106" s="179"/>
      <c r="E106" s="193"/>
      <c r="F106" s="180"/>
      <c r="G106" s="181"/>
      <c r="H106" s="169" t="s">
        <v>152</v>
      </c>
      <c r="I106" s="170">
        <f>ROUNDUP(G104*0.02,0)</f>
        <v>2</v>
      </c>
      <c r="J106" s="171">
        <v>39</v>
      </c>
      <c r="K106" s="171">
        <f t="shared" si="8"/>
        <v>9.75</v>
      </c>
      <c r="L106" s="169"/>
      <c r="M106" s="170"/>
      <c r="N106" s="171">
        <v>0</v>
      </c>
      <c r="O106" s="171">
        <f t="shared" si="9"/>
        <v>0</v>
      </c>
      <c r="P106" s="182"/>
      <c r="Q106" s="170"/>
      <c r="R106" s="183">
        <v>0</v>
      </c>
      <c r="S106" s="184">
        <f t="shared" si="10"/>
        <v>0</v>
      </c>
      <c r="T106" s="188"/>
      <c r="U106" s="134">
        <f t="shared" si="7"/>
        <v>0</v>
      </c>
    </row>
    <row r="107" spans="1:21" ht="15.75">
      <c r="A107" s="177" t="s">
        <v>18</v>
      </c>
      <c r="B107" s="178">
        <v>1</v>
      </c>
      <c r="C107" s="178">
        <v>3</v>
      </c>
      <c r="D107" s="179">
        <v>3</v>
      </c>
      <c r="E107" s="187" t="s">
        <v>59</v>
      </c>
      <c r="F107" s="180" t="s">
        <v>47</v>
      </c>
      <c r="G107" s="181">
        <v>0</v>
      </c>
      <c r="H107" s="169" t="s">
        <v>129</v>
      </c>
      <c r="I107" s="170">
        <f>ROUNDUP(G107*0.09,0)</f>
        <v>0</v>
      </c>
      <c r="J107" s="171">
        <v>26</v>
      </c>
      <c r="K107" s="171">
        <f t="shared" si="8"/>
        <v>0</v>
      </c>
      <c r="L107" s="169" t="s">
        <v>157</v>
      </c>
      <c r="M107" s="170">
        <f>G107*1.02</f>
        <v>0</v>
      </c>
      <c r="N107" s="171">
        <v>10.425275000000001</v>
      </c>
      <c r="O107" s="171">
        <f t="shared" si="9"/>
        <v>0</v>
      </c>
      <c r="P107" s="182"/>
      <c r="Q107" s="170"/>
      <c r="R107" s="183">
        <v>0</v>
      </c>
      <c r="S107" s="184">
        <f t="shared" si="10"/>
        <v>0</v>
      </c>
      <c r="T107" s="185"/>
      <c r="U107" s="134">
        <f t="shared" si="7"/>
        <v>0</v>
      </c>
    </row>
    <row r="108" spans="1:21" ht="15.75">
      <c r="A108" s="177"/>
      <c r="B108" s="178"/>
      <c r="C108" s="178"/>
      <c r="D108" s="179"/>
      <c r="E108" s="187"/>
      <c r="F108" s="180"/>
      <c r="G108" s="181"/>
      <c r="H108" s="169" t="s">
        <v>150</v>
      </c>
      <c r="I108" s="170">
        <f>ROUNDUP(G107*0.02,0)</f>
        <v>0</v>
      </c>
      <c r="J108" s="171">
        <v>52</v>
      </c>
      <c r="K108" s="171">
        <f t="shared" si="8"/>
        <v>0</v>
      </c>
      <c r="L108" s="169" t="s">
        <v>151</v>
      </c>
      <c r="M108" s="170">
        <f>G107*0.02</f>
        <v>0</v>
      </c>
      <c r="N108" s="171">
        <v>12.080275</v>
      </c>
      <c r="O108" s="171">
        <f t="shared" si="9"/>
        <v>0</v>
      </c>
      <c r="P108" s="182"/>
      <c r="Q108" s="170"/>
      <c r="R108" s="183">
        <v>0</v>
      </c>
      <c r="S108" s="184">
        <f t="shared" si="10"/>
        <v>0</v>
      </c>
      <c r="T108" s="185"/>
      <c r="U108" s="134">
        <f t="shared" si="7"/>
        <v>0</v>
      </c>
    </row>
    <row r="109" spans="1:21" ht="15.75">
      <c r="A109" s="177"/>
      <c r="B109" s="178"/>
      <c r="C109" s="178"/>
      <c r="D109" s="179"/>
      <c r="E109" s="187"/>
      <c r="F109" s="180"/>
      <c r="G109" s="181"/>
      <c r="H109" s="169" t="s">
        <v>152</v>
      </c>
      <c r="I109" s="170">
        <f>ROUNDUP(G107*0.02,0)</f>
        <v>0</v>
      </c>
      <c r="J109" s="171">
        <v>39</v>
      </c>
      <c r="K109" s="171">
        <f t="shared" si="8"/>
        <v>0</v>
      </c>
      <c r="L109" s="169"/>
      <c r="M109" s="170"/>
      <c r="N109" s="171">
        <v>0</v>
      </c>
      <c r="O109" s="171">
        <f t="shared" si="9"/>
        <v>0</v>
      </c>
      <c r="P109" s="182"/>
      <c r="Q109" s="170"/>
      <c r="R109" s="183">
        <v>0</v>
      </c>
      <c r="S109" s="184">
        <f t="shared" si="10"/>
        <v>0</v>
      </c>
      <c r="T109" s="185"/>
      <c r="U109" s="134">
        <f t="shared" si="7"/>
        <v>0</v>
      </c>
    </row>
    <row r="110" spans="1:21" ht="15.75">
      <c r="A110" s="177" t="s">
        <v>18</v>
      </c>
      <c r="B110" s="178">
        <v>1</v>
      </c>
      <c r="C110" s="178">
        <v>3</v>
      </c>
      <c r="D110" s="179">
        <v>4</v>
      </c>
      <c r="E110" s="187" t="s">
        <v>49</v>
      </c>
      <c r="F110" s="180" t="s">
        <v>47</v>
      </c>
      <c r="G110" s="181">
        <v>217.02720000000002</v>
      </c>
      <c r="H110" s="169" t="s">
        <v>129</v>
      </c>
      <c r="I110" s="170">
        <f>ROUNDUP(G110*0.09,0)</f>
        <v>20</v>
      </c>
      <c r="J110" s="171">
        <v>26</v>
      </c>
      <c r="K110" s="171">
        <f t="shared" si="8"/>
        <v>65</v>
      </c>
      <c r="L110" s="169" t="s">
        <v>154</v>
      </c>
      <c r="M110" s="170">
        <f>G110*1.02</f>
        <v>221.36774400000002</v>
      </c>
      <c r="N110" s="171">
        <v>10.425275000000001</v>
      </c>
      <c r="O110" s="171">
        <f t="shared" si="9"/>
        <v>2307.8196073296003</v>
      </c>
      <c r="P110" s="182"/>
      <c r="Q110" s="170"/>
      <c r="R110" s="183">
        <v>0</v>
      </c>
      <c r="S110" s="184">
        <f t="shared" si="10"/>
        <v>0</v>
      </c>
      <c r="T110" s="185">
        <f>(SUM(K110:K112,O110:O112,S110:S112)/G110)*1.02</f>
        <v>11.665690586014952</v>
      </c>
      <c r="U110" s="134">
        <f t="shared" si="7"/>
        <v>2531.7721639491842</v>
      </c>
    </row>
    <row r="111" spans="1:21" ht="15.75">
      <c r="A111" s="177"/>
      <c r="B111" s="178"/>
      <c r="C111" s="178"/>
      <c r="D111" s="179"/>
      <c r="E111" s="187"/>
      <c r="F111" s="180"/>
      <c r="G111" s="181"/>
      <c r="H111" s="169" t="s">
        <v>150</v>
      </c>
      <c r="I111" s="170">
        <f>ROUNDUP(G110*0.02,0)</f>
        <v>5</v>
      </c>
      <c r="J111" s="171">
        <v>52</v>
      </c>
      <c r="K111" s="171">
        <f t="shared" si="8"/>
        <v>32.5</v>
      </c>
      <c r="L111" s="169" t="s">
        <v>151</v>
      </c>
      <c r="M111" s="170">
        <f>G110*0.02</f>
        <v>4.340544</v>
      </c>
      <c r="N111" s="171">
        <v>12.080275</v>
      </c>
      <c r="O111" s="171">
        <f t="shared" si="9"/>
        <v>52.434965169600005</v>
      </c>
      <c r="P111" s="182"/>
      <c r="Q111" s="170"/>
      <c r="R111" s="183">
        <v>0</v>
      </c>
      <c r="S111" s="184">
        <f t="shared" si="10"/>
        <v>0</v>
      </c>
      <c r="T111" s="185"/>
      <c r="U111" s="134">
        <f t="shared" si="7"/>
        <v>0</v>
      </c>
    </row>
    <row r="112" spans="1:21" ht="15.75">
      <c r="A112" s="177"/>
      <c r="B112" s="178"/>
      <c r="C112" s="178"/>
      <c r="D112" s="179"/>
      <c r="E112" s="187"/>
      <c r="F112" s="180"/>
      <c r="G112" s="181"/>
      <c r="H112" s="169" t="s">
        <v>152</v>
      </c>
      <c r="I112" s="170">
        <f>ROUNDUP(G110*0.02,0)</f>
        <v>5</v>
      </c>
      <c r="J112" s="171">
        <v>39</v>
      </c>
      <c r="K112" s="171">
        <f t="shared" si="8"/>
        <v>24.375</v>
      </c>
      <c r="L112" s="169"/>
      <c r="M112" s="170"/>
      <c r="N112" s="171">
        <v>0</v>
      </c>
      <c r="O112" s="171">
        <f t="shared" si="9"/>
        <v>0</v>
      </c>
      <c r="P112" s="182"/>
      <c r="Q112" s="170"/>
      <c r="R112" s="183">
        <v>0</v>
      </c>
      <c r="S112" s="184">
        <f t="shared" si="10"/>
        <v>0</v>
      </c>
      <c r="T112" s="185"/>
      <c r="U112" s="134">
        <f t="shared" si="7"/>
        <v>0</v>
      </c>
    </row>
    <row r="113" spans="1:21" ht="15.75">
      <c r="A113" s="163" t="s">
        <v>18</v>
      </c>
      <c r="B113" s="164">
        <v>1</v>
      </c>
      <c r="C113" s="164"/>
      <c r="D113" s="165"/>
      <c r="E113" s="195" t="s">
        <v>37</v>
      </c>
      <c r="F113" s="167"/>
      <c r="G113" s="181">
        <v>0</v>
      </c>
      <c r="H113" s="169"/>
      <c r="I113" s="170"/>
      <c r="J113" s="171">
        <v>0</v>
      </c>
      <c r="K113" s="171">
        <f t="shared" si="8"/>
        <v>0</v>
      </c>
      <c r="L113" s="169"/>
      <c r="M113" s="170"/>
      <c r="N113" s="171">
        <v>0</v>
      </c>
      <c r="O113" s="171">
        <f t="shared" si="9"/>
        <v>0</v>
      </c>
      <c r="P113" s="172"/>
      <c r="Q113" s="173"/>
      <c r="R113" s="183">
        <v>0</v>
      </c>
      <c r="S113" s="184">
        <f t="shared" si="10"/>
        <v>0</v>
      </c>
      <c r="T113" s="185"/>
      <c r="U113" s="134">
        <f t="shared" si="7"/>
        <v>0</v>
      </c>
    </row>
    <row r="114" spans="1:21" ht="15.75">
      <c r="A114" s="163" t="s">
        <v>18</v>
      </c>
      <c r="B114" s="164">
        <v>2</v>
      </c>
      <c r="C114" s="164"/>
      <c r="D114" s="165"/>
      <c r="E114" s="186" t="s">
        <v>60</v>
      </c>
      <c r="F114" s="180"/>
      <c r="G114" s="181">
        <v>0</v>
      </c>
      <c r="H114" s="169"/>
      <c r="I114" s="170"/>
      <c r="J114" s="171">
        <v>0</v>
      </c>
      <c r="K114" s="171">
        <f t="shared" si="8"/>
        <v>0</v>
      </c>
      <c r="L114" s="169"/>
      <c r="M114" s="170"/>
      <c r="N114" s="171">
        <v>0</v>
      </c>
      <c r="O114" s="171">
        <f t="shared" si="9"/>
        <v>0</v>
      </c>
      <c r="P114" s="182"/>
      <c r="Q114" s="170"/>
      <c r="R114" s="183">
        <v>0</v>
      </c>
      <c r="S114" s="184">
        <f t="shared" si="10"/>
        <v>0</v>
      </c>
      <c r="T114" s="185"/>
      <c r="U114" s="134">
        <f t="shared" si="7"/>
        <v>0</v>
      </c>
    </row>
    <row r="115" spans="1:21" ht="27.75">
      <c r="A115" s="177" t="s">
        <v>18</v>
      </c>
      <c r="B115" s="178">
        <v>2</v>
      </c>
      <c r="C115" s="178">
        <v>1</v>
      </c>
      <c r="D115" s="179">
        <v>1</v>
      </c>
      <c r="E115" s="193" t="s">
        <v>61</v>
      </c>
      <c r="F115" s="180" t="s">
        <v>35</v>
      </c>
      <c r="G115" s="181">
        <v>229.24999999999997</v>
      </c>
      <c r="H115" s="169" t="s">
        <v>129</v>
      </c>
      <c r="I115" s="170">
        <f>ROUNDUP(G115*1,0)</f>
        <v>230</v>
      </c>
      <c r="J115" s="171">
        <v>26</v>
      </c>
      <c r="K115" s="171">
        <f t="shared" si="8"/>
        <v>747.5</v>
      </c>
      <c r="L115" s="169" t="s">
        <v>158</v>
      </c>
      <c r="M115" s="170">
        <f>12.5*G115</f>
        <v>2865.6249999999995</v>
      </c>
      <c r="N115" s="171">
        <v>6.242103696256244</v>
      </c>
      <c r="O115" s="171">
        <f t="shared" si="9"/>
        <v>17887.528404584296</v>
      </c>
      <c r="P115" s="182" t="s">
        <v>137</v>
      </c>
      <c r="Q115" s="170">
        <f>ROUNDUP(G115*0.09,0)</f>
        <v>21</v>
      </c>
      <c r="R115" s="183">
        <v>30</v>
      </c>
      <c r="S115" s="184">
        <f t="shared" si="10"/>
        <v>630</v>
      </c>
      <c r="T115" s="185">
        <f>(SUM(K115:K118,O115:O118,S115:S118)/G115)*1.02</f>
        <v>133.75766800000903</v>
      </c>
      <c r="U115" s="134">
        <f t="shared" si="7"/>
        <v>30663.945389002067</v>
      </c>
    </row>
    <row r="116" spans="1:21" ht="15.75">
      <c r="A116" s="177"/>
      <c r="B116" s="178"/>
      <c r="C116" s="178"/>
      <c r="D116" s="179"/>
      <c r="E116" s="193"/>
      <c r="F116" s="180"/>
      <c r="G116" s="181"/>
      <c r="H116" s="169" t="s">
        <v>135</v>
      </c>
      <c r="I116" s="170">
        <f>ROUNDUP(G115*0.5,0)</f>
        <v>115</v>
      </c>
      <c r="J116" s="171">
        <v>52</v>
      </c>
      <c r="K116" s="171">
        <f t="shared" si="8"/>
        <v>747.5</v>
      </c>
      <c r="L116" s="169" t="s">
        <v>136</v>
      </c>
      <c r="M116" s="170">
        <f>0.2*G115</f>
        <v>45.849999999999994</v>
      </c>
      <c r="N116" s="171">
        <v>174.77097826086958</v>
      </c>
      <c r="O116" s="171">
        <f t="shared" si="9"/>
        <v>8013.24935326087</v>
      </c>
      <c r="P116" s="182"/>
      <c r="Q116" s="170"/>
      <c r="R116" s="183">
        <v>0</v>
      </c>
      <c r="S116" s="184">
        <f t="shared" si="10"/>
        <v>0</v>
      </c>
      <c r="T116" s="185"/>
      <c r="U116" s="134">
        <f t="shared" si="7"/>
        <v>0</v>
      </c>
    </row>
    <row r="117" spans="1:21" ht="15.75">
      <c r="A117" s="177"/>
      <c r="B117" s="178"/>
      <c r="C117" s="178"/>
      <c r="D117" s="179"/>
      <c r="E117" s="193"/>
      <c r="F117" s="180"/>
      <c r="G117" s="181"/>
      <c r="H117" s="169" t="s">
        <v>156</v>
      </c>
      <c r="I117" s="170">
        <f>ROUNDUP(G115*0.5,0)</f>
        <v>115</v>
      </c>
      <c r="J117" s="171">
        <v>39</v>
      </c>
      <c r="K117" s="171">
        <f t="shared" si="8"/>
        <v>560.625</v>
      </c>
      <c r="L117" s="169" t="s">
        <v>139</v>
      </c>
      <c r="M117" s="170">
        <f>0.08*G115</f>
        <v>18.34</v>
      </c>
      <c r="N117" s="171">
        <v>80</v>
      </c>
      <c r="O117" s="171">
        <f t="shared" si="9"/>
        <v>1467.2</v>
      </c>
      <c r="P117" s="182"/>
      <c r="Q117" s="170"/>
      <c r="R117" s="183">
        <v>0</v>
      </c>
      <c r="S117" s="184">
        <f t="shared" si="10"/>
        <v>0</v>
      </c>
      <c r="T117" s="188"/>
      <c r="U117" s="134">
        <f t="shared" si="7"/>
        <v>0</v>
      </c>
    </row>
    <row r="118" spans="1:21" ht="15.75">
      <c r="A118" s="177"/>
      <c r="B118" s="178"/>
      <c r="C118" s="178"/>
      <c r="D118" s="179"/>
      <c r="E118" s="193"/>
      <c r="F118" s="180"/>
      <c r="G118" s="181"/>
      <c r="H118" s="169"/>
      <c r="I118" s="170"/>
      <c r="J118" s="171">
        <v>0</v>
      </c>
      <c r="K118" s="171">
        <f t="shared" si="8"/>
        <v>0</v>
      </c>
      <c r="L118" s="169" t="s">
        <v>131</v>
      </c>
      <c r="M118" s="170">
        <f>0.08*Q115</f>
        <v>1.68</v>
      </c>
      <c r="N118" s="171">
        <v>5.41</v>
      </c>
      <c r="O118" s="171">
        <f t="shared" si="9"/>
        <v>9.088799999999999</v>
      </c>
      <c r="P118" s="182"/>
      <c r="Q118" s="170"/>
      <c r="R118" s="183">
        <v>0</v>
      </c>
      <c r="S118" s="184">
        <f t="shared" si="10"/>
        <v>0</v>
      </c>
      <c r="T118" s="185"/>
      <c r="U118" s="134">
        <f t="shared" si="7"/>
        <v>0</v>
      </c>
    </row>
    <row r="119" spans="1:21" ht="15.75">
      <c r="A119" s="177" t="s">
        <v>18</v>
      </c>
      <c r="B119" s="178">
        <v>2</v>
      </c>
      <c r="C119" s="178">
        <v>1</v>
      </c>
      <c r="D119" s="179">
        <v>2</v>
      </c>
      <c r="E119" s="193" t="s">
        <v>62</v>
      </c>
      <c r="F119" s="180" t="s">
        <v>35</v>
      </c>
      <c r="G119" s="181">
        <v>54.53</v>
      </c>
      <c r="H119" s="169" t="s">
        <v>129</v>
      </c>
      <c r="I119" s="170">
        <f>ROUNDUP(G119*1,0)</f>
        <v>55</v>
      </c>
      <c r="J119" s="171">
        <v>26</v>
      </c>
      <c r="K119" s="171">
        <f t="shared" si="8"/>
        <v>178.75</v>
      </c>
      <c r="L119" s="169" t="s">
        <v>159</v>
      </c>
      <c r="M119" s="170">
        <f>12.5*G119</f>
        <v>681.625</v>
      </c>
      <c r="N119" s="171">
        <v>4.242103696256244</v>
      </c>
      <c r="O119" s="171">
        <f t="shared" si="9"/>
        <v>2891.523931960662</v>
      </c>
      <c r="P119" s="182" t="s">
        <v>137</v>
      </c>
      <c r="Q119" s="170">
        <f>ROUNDUP(G119*0.09,0)</f>
        <v>5</v>
      </c>
      <c r="R119" s="183">
        <v>30</v>
      </c>
      <c r="S119" s="184">
        <f t="shared" si="10"/>
        <v>150</v>
      </c>
      <c r="T119" s="185">
        <f>(SUM(K119:K122,O119:O122,S119:S122)/G119)*1.02</f>
        <v>108.41558527950083</v>
      </c>
      <c r="U119" s="134">
        <f t="shared" si="7"/>
        <v>5911.901865291181</v>
      </c>
    </row>
    <row r="120" spans="1:21" ht="15.75">
      <c r="A120" s="177"/>
      <c r="B120" s="178"/>
      <c r="C120" s="178"/>
      <c r="D120" s="179"/>
      <c r="E120" s="193"/>
      <c r="F120" s="180"/>
      <c r="G120" s="181"/>
      <c r="H120" s="169" t="s">
        <v>135</v>
      </c>
      <c r="I120" s="170">
        <f>ROUNDUP(G119*0.5,0)</f>
        <v>28</v>
      </c>
      <c r="J120" s="171">
        <v>52</v>
      </c>
      <c r="K120" s="171">
        <f t="shared" si="8"/>
        <v>182</v>
      </c>
      <c r="L120" s="169" t="s">
        <v>136</v>
      </c>
      <c r="M120" s="170">
        <f>0.2*G119</f>
        <v>10.906</v>
      </c>
      <c r="N120" s="171">
        <v>174.77097826086958</v>
      </c>
      <c r="O120" s="171">
        <f t="shared" si="9"/>
        <v>1906.0522889130439</v>
      </c>
      <c r="P120" s="182"/>
      <c r="Q120" s="170"/>
      <c r="R120" s="183">
        <v>0</v>
      </c>
      <c r="S120" s="184">
        <f t="shared" si="10"/>
        <v>0</v>
      </c>
      <c r="T120" s="185"/>
      <c r="U120" s="134">
        <f t="shared" si="7"/>
        <v>0</v>
      </c>
    </row>
    <row r="121" spans="1:21" ht="15.75">
      <c r="A121" s="177"/>
      <c r="B121" s="178"/>
      <c r="C121" s="178"/>
      <c r="D121" s="179"/>
      <c r="E121" s="193"/>
      <c r="F121" s="180"/>
      <c r="G121" s="181"/>
      <c r="H121" s="169" t="s">
        <v>156</v>
      </c>
      <c r="I121" s="170">
        <f>ROUNDUP(G119*0.5,0)</f>
        <v>28</v>
      </c>
      <c r="J121" s="171">
        <v>39</v>
      </c>
      <c r="K121" s="171">
        <f t="shared" si="8"/>
        <v>136.5</v>
      </c>
      <c r="L121" s="169" t="s">
        <v>139</v>
      </c>
      <c r="M121" s="170">
        <f>0.08*G119</f>
        <v>4.3624</v>
      </c>
      <c r="N121" s="171">
        <v>80</v>
      </c>
      <c r="O121" s="171">
        <f t="shared" si="9"/>
        <v>348.992</v>
      </c>
      <c r="P121" s="182"/>
      <c r="Q121" s="170"/>
      <c r="R121" s="183">
        <v>0</v>
      </c>
      <c r="S121" s="184">
        <f t="shared" si="10"/>
        <v>0</v>
      </c>
      <c r="T121" s="188"/>
      <c r="U121" s="134">
        <f t="shared" si="7"/>
        <v>0</v>
      </c>
    </row>
    <row r="122" spans="1:21" ht="15.75">
      <c r="A122" s="177"/>
      <c r="B122" s="178"/>
      <c r="C122" s="178"/>
      <c r="D122" s="179"/>
      <c r="E122" s="193"/>
      <c r="F122" s="180"/>
      <c r="G122" s="181"/>
      <c r="H122" s="169"/>
      <c r="I122" s="170"/>
      <c r="J122" s="171">
        <v>0</v>
      </c>
      <c r="K122" s="171">
        <f t="shared" si="8"/>
        <v>0</v>
      </c>
      <c r="L122" s="169" t="s">
        <v>131</v>
      </c>
      <c r="M122" s="170">
        <f>0.08*Q119</f>
        <v>0.4</v>
      </c>
      <c r="N122" s="171">
        <v>5.41</v>
      </c>
      <c r="O122" s="171">
        <f t="shared" si="9"/>
        <v>2.164</v>
      </c>
      <c r="P122" s="182"/>
      <c r="Q122" s="170"/>
      <c r="R122" s="183">
        <v>0</v>
      </c>
      <c r="S122" s="184">
        <f t="shared" si="10"/>
        <v>0</v>
      </c>
      <c r="T122" s="185"/>
      <c r="U122" s="134">
        <f t="shared" si="7"/>
        <v>0</v>
      </c>
    </row>
    <row r="123" spans="1:21" ht="15.75">
      <c r="A123" s="163" t="s">
        <v>18</v>
      </c>
      <c r="B123" s="164">
        <v>2</v>
      </c>
      <c r="C123" s="164"/>
      <c r="D123" s="165"/>
      <c r="E123" s="195" t="s">
        <v>37</v>
      </c>
      <c r="F123" s="167"/>
      <c r="G123" s="181">
        <v>0</v>
      </c>
      <c r="H123" s="169"/>
      <c r="I123" s="170"/>
      <c r="J123" s="171">
        <v>0</v>
      </c>
      <c r="K123" s="171">
        <f t="shared" si="8"/>
        <v>0</v>
      </c>
      <c r="L123" s="169"/>
      <c r="M123" s="170"/>
      <c r="N123" s="171">
        <v>0</v>
      </c>
      <c r="O123" s="171">
        <f t="shared" si="9"/>
        <v>0</v>
      </c>
      <c r="P123" s="172"/>
      <c r="Q123" s="173"/>
      <c r="R123" s="183">
        <v>0</v>
      </c>
      <c r="S123" s="184">
        <f t="shared" si="10"/>
        <v>0</v>
      </c>
      <c r="T123" s="185"/>
      <c r="U123" s="134">
        <f t="shared" si="7"/>
        <v>0</v>
      </c>
    </row>
    <row r="124" spans="1:21" s="109" customFormat="1" ht="15.75">
      <c r="A124" s="163" t="s">
        <v>18</v>
      </c>
      <c r="B124" s="164">
        <v>3</v>
      </c>
      <c r="C124" s="164"/>
      <c r="D124" s="179"/>
      <c r="E124" s="186" t="s">
        <v>63</v>
      </c>
      <c r="F124" s="180"/>
      <c r="G124" s="181">
        <v>0</v>
      </c>
      <c r="H124" s="169"/>
      <c r="I124" s="170"/>
      <c r="J124" s="171">
        <v>0</v>
      </c>
      <c r="K124" s="171">
        <f t="shared" si="8"/>
        <v>0</v>
      </c>
      <c r="L124" s="169"/>
      <c r="M124" s="170"/>
      <c r="N124" s="171">
        <v>0</v>
      </c>
      <c r="O124" s="171">
        <f t="shared" si="9"/>
        <v>0</v>
      </c>
      <c r="P124" s="172"/>
      <c r="Q124" s="173"/>
      <c r="R124" s="183">
        <v>0</v>
      </c>
      <c r="S124" s="184">
        <f t="shared" si="10"/>
        <v>0</v>
      </c>
      <c r="T124" s="185"/>
      <c r="U124" s="134">
        <f t="shared" si="7"/>
        <v>0</v>
      </c>
    </row>
    <row r="125" spans="1:21" ht="66.75">
      <c r="A125" s="177" t="s">
        <v>18</v>
      </c>
      <c r="B125" s="178">
        <v>3</v>
      </c>
      <c r="C125" s="178">
        <v>1</v>
      </c>
      <c r="D125" s="179">
        <v>1</v>
      </c>
      <c r="E125" s="196" t="s">
        <v>426</v>
      </c>
      <c r="F125" s="180" t="s">
        <v>35</v>
      </c>
      <c r="G125" s="181">
        <v>223.26</v>
      </c>
      <c r="H125" s="169" t="s">
        <v>142</v>
      </c>
      <c r="I125" s="170">
        <f>ROUNDUP(G125/6,0)</f>
        <v>38</v>
      </c>
      <c r="J125" s="171">
        <v>52</v>
      </c>
      <c r="K125" s="171">
        <f t="shared" si="8"/>
        <v>247</v>
      </c>
      <c r="L125" s="169" t="s">
        <v>160</v>
      </c>
      <c r="M125" s="170">
        <f>G125*0.69</f>
        <v>154.0494</v>
      </c>
      <c r="N125" s="171">
        <v>85.401375</v>
      </c>
      <c r="O125" s="171">
        <f t="shared" si="9"/>
        <v>13156.030577925</v>
      </c>
      <c r="P125" s="182"/>
      <c r="Q125" s="170"/>
      <c r="R125" s="183">
        <v>0</v>
      </c>
      <c r="S125" s="184">
        <f t="shared" si="10"/>
        <v>0</v>
      </c>
      <c r="T125" s="185">
        <f>(SUM(K125:K128,O125:O128,S125:S128)/G125)*1.02</f>
        <v>68.87006598477514</v>
      </c>
      <c r="U125" s="134">
        <f t="shared" si="7"/>
        <v>15375.930931760897</v>
      </c>
    </row>
    <row r="126" spans="1:21" ht="15.75">
      <c r="A126" s="177"/>
      <c r="B126" s="178"/>
      <c r="C126" s="178"/>
      <c r="D126" s="179"/>
      <c r="E126" s="196"/>
      <c r="F126" s="180"/>
      <c r="G126" s="181"/>
      <c r="H126" s="169" t="s">
        <v>144</v>
      </c>
      <c r="I126" s="170">
        <f>ROUNDUP(G125/6,0)</f>
        <v>38</v>
      </c>
      <c r="J126" s="171">
        <v>39</v>
      </c>
      <c r="K126" s="171">
        <f t="shared" si="8"/>
        <v>185.25</v>
      </c>
      <c r="L126" s="169" t="s">
        <v>161</v>
      </c>
      <c r="M126" s="170">
        <f>G125*0.18</f>
        <v>40.1868</v>
      </c>
      <c r="N126" s="171">
        <v>15.080275</v>
      </c>
      <c r="O126" s="171">
        <f t="shared" si="9"/>
        <v>606.02799537</v>
      </c>
      <c r="P126" s="182"/>
      <c r="Q126" s="170"/>
      <c r="R126" s="183">
        <v>0</v>
      </c>
      <c r="S126" s="184">
        <f t="shared" si="10"/>
        <v>0</v>
      </c>
      <c r="T126" s="176"/>
      <c r="U126" s="134">
        <f t="shared" si="7"/>
        <v>0</v>
      </c>
    </row>
    <row r="127" spans="1:21" ht="15.75">
      <c r="A127" s="177"/>
      <c r="B127" s="178"/>
      <c r="C127" s="178"/>
      <c r="D127" s="179"/>
      <c r="E127" s="196"/>
      <c r="F127" s="180"/>
      <c r="G127" s="181"/>
      <c r="H127" s="169" t="s">
        <v>129</v>
      </c>
      <c r="I127" s="170">
        <f>ROUNDUP(G125/3,0)</f>
        <v>75</v>
      </c>
      <c r="J127" s="171">
        <v>26</v>
      </c>
      <c r="K127" s="171">
        <f t="shared" si="8"/>
        <v>243.75</v>
      </c>
      <c r="L127" s="169" t="s">
        <v>162</v>
      </c>
      <c r="M127" s="170">
        <f>G125*13</f>
        <v>2902.38</v>
      </c>
      <c r="N127" s="171">
        <v>0.05</v>
      </c>
      <c r="O127" s="171">
        <f t="shared" si="9"/>
        <v>145.119</v>
      </c>
      <c r="P127" s="182"/>
      <c r="Q127" s="170"/>
      <c r="R127" s="183">
        <v>0</v>
      </c>
      <c r="S127" s="184">
        <f t="shared" si="10"/>
        <v>0</v>
      </c>
      <c r="T127" s="188"/>
      <c r="U127" s="134">
        <f t="shared" si="7"/>
        <v>0</v>
      </c>
    </row>
    <row r="128" spans="1:21" ht="15.75">
      <c r="A128" s="177"/>
      <c r="B128" s="178"/>
      <c r="C128" s="178"/>
      <c r="D128" s="179"/>
      <c r="E128" s="196"/>
      <c r="F128" s="180"/>
      <c r="G128" s="181"/>
      <c r="H128" s="169"/>
      <c r="I128" s="170"/>
      <c r="J128" s="171">
        <v>0</v>
      </c>
      <c r="K128" s="171">
        <f t="shared" si="8"/>
        <v>0</v>
      </c>
      <c r="L128" s="169" t="s">
        <v>163</v>
      </c>
      <c r="M128" s="170">
        <f>G129/3</f>
        <v>16.266666666666666</v>
      </c>
      <c r="N128" s="171">
        <v>30.2006875</v>
      </c>
      <c r="O128" s="171">
        <f t="shared" si="9"/>
        <v>491.2645166666666</v>
      </c>
      <c r="P128" s="182"/>
      <c r="Q128" s="170"/>
      <c r="R128" s="183">
        <v>0</v>
      </c>
      <c r="S128" s="184">
        <f t="shared" si="10"/>
        <v>0</v>
      </c>
      <c r="T128" s="185"/>
      <c r="U128" s="134">
        <f t="shared" si="7"/>
        <v>0</v>
      </c>
    </row>
    <row r="129" spans="1:21" ht="66.75">
      <c r="A129" s="177" t="s">
        <v>18</v>
      </c>
      <c r="B129" s="178">
        <v>3</v>
      </c>
      <c r="C129" s="178">
        <v>2</v>
      </c>
      <c r="D129" s="179">
        <v>1</v>
      </c>
      <c r="E129" s="187" t="s">
        <v>427</v>
      </c>
      <c r="F129" s="180" t="s">
        <v>64</v>
      </c>
      <c r="G129" s="181">
        <v>48.8</v>
      </c>
      <c r="H129" s="169" t="s">
        <v>129</v>
      </c>
      <c r="I129" s="170">
        <f>ROUNDUP(G129*0.33,0)</f>
        <v>17</v>
      </c>
      <c r="J129" s="171">
        <v>26</v>
      </c>
      <c r="K129" s="171">
        <f t="shared" si="8"/>
        <v>55.25</v>
      </c>
      <c r="L129" s="169" t="s">
        <v>163</v>
      </c>
      <c r="M129" s="170">
        <f>G129</f>
        <v>48.8</v>
      </c>
      <c r="N129" s="171">
        <v>30.2006875</v>
      </c>
      <c r="O129" s="171">
        <f t="shared" si="9"/>
        <v>1473.7935499999999</v>
      </c>
      <c r="P129" s="182"/>
      <c r="Q129" s="170"/>
      <c r="R129" s="183">
        <v>0</v>
      </c>
      <c r="S129" s="184">
        <f t="shared" si="10"/>
        <v>0</v>
      </c>
      <c r="T129" s="185">
        <f>(SUM(K129:K136,O129:O136,S129:S136)/G129)*1.02</f>
        <v>40.43415019991804</v>
      </c>
      <c r="U129" s="134">
        <f t="shared" si="7"/>
        <v>1973.186529756</v>
      </c>
    </row>
    <row r="130" spans="1:21" ht="15.75">
      <c r="A130" s="177"/>
      <c r="B130" s="178"/>
      <c r="C130" s="178"/>
      <c r="D130" s="179"/>
      <c r="E130" s="187"/>
      <c r="F130" s="180"/>
      <c r="G130" s="181"/>
      <c r="H130" s="169" t="s">
        <v>164</v>
      </c>
      <c r="I130" s="170">
        <f>ROUNDUP(G129*0.33,0)</f>
        <v>17</v>
      </c>
      <c r="J130" s="171">
        <v>52</v>
      </c>
      <c r="K130" s="171">
        <f t="shared" si="8"/>
        <v>110.5</v>
      </c>
      <c r="L130" s="169" t="s">
        <v>165</v>
      </c>
      <c r="M130" s="170">
        <f>G129*3</f>
        <v>146.39999999999998</v>
      </c>
      <c r="N130" s="171">
        <v>0.1</v>
      </c>
      <c r="O130" s="171">
        <f t="shared" si="9"/>
        <v>14.639999999999999</v>
      </c>
      <c r="P130" s="182"/>
      <c r="Q130" s="170"/>
      <c r="R130" s="183">
        <v>0</v>
      </c>
      <c r="S130" s="184">
        <f t="shared" si="10"/>
        <v>0</v>
      </c>
      <c r="T130" s="185"/>
      <c r="U130" s="134">
        <f t="shared" si="7"/>
        <v>0</v>
      </c>
    </row>
    <row r="131" spans="1:21" ht="15.75">
      <c r="A131" s="177"/>
      <c r="B131" s="178"/>
      <c r="C131" s="178"/>
      <c r="D131" s="179"/>
      <c r="E131" s="187"/>
      <c r="F131" s="180"/>
      <c r="G131" s="181"/>
      <c r="H131" s="169"/>
      <c r="I131" s="170"/>
      <c r="J131" s="171">
        <v>0</v>
      </c>
      <c r="K131" s="171">
        <f t="shared" si="8"/>
        <v>0</v>
      </c>
      <c r="L131" s="169" t="s">
        <v>166</v>
      </c>
      <c r="M131" s="170">
        <f>G129*3</f>
        <v>146.39999999999998</v>
      </c>
      <c r="N131" s="171">
        <v>0.1</v>
      </c>
      <c r="O131" s="171">
        <f t="shared" si="9"/>
        <v>14.639999999999999</v>
      </c>
      <c r="P131" s="182"/>
      <c r="Q131" s="170"/>
      <c r="R131" s="183">
        <v>0</v>
      </c>
      <c r="S131" s="184">
        <f t="shared" si="10"/>
        <v>0</v>
      </c>
      <c r="T131" s="188"/>
      <c r="U131" s="134">
        <f t="shared" si="7"/>
        <v>0</v>
      </c>
    </row>
    <row r="132" spans="1:21" ht="15.75">
      <c r="A132" s="177"/>
      <c r="B132" s="178"/>
      <c r="C132" s="178"/>
      <c r="D132" s="179"/>
      <c r="E132" s="187"/>
      <c r="F132" s="180"/>
      <c r="G132" s="181"/>
      <c r="H132" s="169"/>
      <c r="I132" s="170"/>
      <c r="J132" s="171">
        <v>0</v>
      </c>
      <c r="K132" s="171">
        <f t="shared" si="8"/>
        <v>0</v>
      </c>
      <c r="L132" s="169" t="s">
        <v>167</v>
      </c>
      <c r="M132" s="170">
        <f>G129*0.01</f>
        <v>0.488</v>
      </c>
      <c r="N132" s="171">
        <v>80.080275</v>
      </c>
      <c r="O132" s="171">
        <f t="shared" si="9"/>
        <v>39.0791742</v>
      </c>
      <c r="P132" s="182"/>
      <c r="Q132" s="170"/>
      <c r="R132" s="183">
        <v>0</v>
      </c>
      <c r="S132" s="184">
        <f t="shared" si="10"/>
        <v>0</v>
      </c>
      <c r="T132" s="185"/>
      <c r="U132" s="134">
        <f t="shared" si="7"/>
        <v>0</v>
      </c>
    </row>
    <row r="133" spans="1:21" ht="15.75">
      <c r="A133" s="177"/>
      <c r="B133" s="178"/>
      <c r="C133" s="178"/>
      <c r="D133" s="179"/>
      <c r="E133" s="187"/>
      <c r="F133" s="180"/>
      <c r="G133" s="181"/>
      <c r="H133" s="169"/>
      <c r="I133" s="170"/>
      <c r="J133" s="171">
        <v>0</v>
      </c>
      <c r="K133" s="171">
        <f t="shared" si="8"/>
        <v>0</v>
      </c>
      <c r="L133" s="169" t="s">
        <v>168</v>
      </c>
      <c r="M133" s="170">
        <f>ROUNDUP(G129*2,0)</f>
        <v>98</v>
      </c>
      <c r="N133" s="171">
        <v>1.5</v>
      </c>
      <c r="O133" s="171">
        <f t="shared" si="9"/>
        <v>147</v>
      </c>
      <c r="P133" s="182"/>
      <c r="Q133" s="170"/>
      <c r="R133" s="183">
        <v>0</v>
      </c>
      <c r="S133" s="184">
        <f t="shared" si="10"/>
        <v>0</v>
      </c>
      <c r="T133" s="185"/>
      <c r="U133" s="134">
        <f t="shared" si="7"/>
        <v>0</v>
      </c>
    </row>
    <row r="134" spans="1:21" ht="15.75">
      <c r="A134" s="177"/>
      <c r="B134" s="178"/>
      <c r="C134" s="178"/>
      <c r="D134" s="179"/>
      <c r="E134" s="187"/>
      <c r="F134" s="180"/>
      <c r="G134" s="181"/>
      <c r="H134" s="169"/>
      <c r="I134" s="170"/>
      <c r="J134" s="171">
        <v>0</v>
      </c>
      <c r="K134" s="171">
        <f t="shared" si="8"/>
        <v>0</v>
      </c>
      <c r="L134" s="169" t="s">
        <v>169</v>
      </c>
      <c r="M134" s="170">
        <f>G129*0.01</f>
        <v>0.488</v>
      </c>
      <c r="N134" s="171">
        <v>59.451100000000004</v>
      </c>
      <c r="O134" s="171">
        <f t="shared" si="9"/>
        <v>29.0121368</v>
      </c>
      <c r="P134" s="182"/>
      <c r="Q134" s="170"/>
      <c r="R134" s="183">
        <v>0</v>
      </c>
      <c r="S134" s="184">
        <f t="shared" si="10"/>
        <v>0</v>
      </c>
      <c r="T134" s="185"/>
      <c r="U134" s="134">
        <f t="shared" si="7"/>
        <v>0</v>
      </c>
    </row>
    <row r="135" spans="1:21" ht="15.75">
      <c r="A135" s="177"/>
      <c r="B135" s="178"/>
      <c r="C135" s="178"/>
      <c r="D135" s="179"/>
      <c r="E135" s="187"/>
      <c r="F135" s="180"/>
      <c r="G135" s="181"/>
      <c r="H135" s="169"/>
      <c r="I135" s="170"/>
      <c r="J135" s="171">
        <v>0</v>
      </c>
      <c r="K135" s="171">
        <f t="shared" si="8"/>
        <v>0</v>
      </c>
      <c r="L135" s="169" t="s">
        <v>170</v>
      </c>
      <c r="M135" s="170">
        <f>G129*0.01</f>
        <v>0.488</v>
      </c>
      <c r="N135" s="171">
        <v>82.0111</v>
      </c>
      <c r="O135" s="171">
        <f t="shared" si="9"/>
        <v>40.0214168</v>
      </c>
      <c r="P135" s="182"/>
      <c r="Q135" s="170"/>
      <c r="R135" s="183">
        <v>0</v>
      </c>
      <c r="S135" s="184">
        <f t="shared" si="10"/>
        <v>0</v>
      </c>
      <c r="T135" s="185"/>
      <c r="U135" s="134">
        <f t="shared" si="7"/>
        <v>0</v>
      </c>
    </row>
    <row r="136" spans="1:21" ht="15.75">
      <c r="A136" s="177"/>
      <c r="B136" s="178"/>
      <c r="C136" s="178"/>
      <c r="D136" s="179"/>
      <c r="E136" s="187"/>
      <c r="F136" s="180"/>
      <c r="G136" s="181"/>
      <c r="H136" s="169"/>
      <c r="I136" s="170"/>
      <c r="J136" s="171">
        <v>0</v>
      </c>
      <c r="K136" s="171">
        <f t="shared" si="8"/>
        <v>0</v>
      </c>
      <c r="L136" s="169" t="s">
        <v>131</v>
      </c>
      <c r="M136" s="170">
        <f>M132*4</f>
        <v>1.952</v>
      </c>
      <c r="N136" s="171">
        <v>5.41</v>
      </c>
      <c r="O136" s="171">
        <f t="shared" si="9"/>
        <v>10.56032</v>
      </c>
      <c r="P136" s="182"/>
      <c r="Q136" s="170"/>
      <c r="R136" s="183">
        <v>0</v>
      </c>
      <c r="S136" s="184">
        <f t="shared" si="10"/>
        <v>0</v>
      </c>
      <c r="T136" s="185"/>
      <c r="U136" s="134">
        <f t="shared" si="7"/>
        <v>0</v>
      </c>
    </row>
    <row r="137" spans="1:21" s="109" customFormat="1" ht="15.75">
      <c r="A137" s="163" t="s">
        <v>18</v>
      </c>
      <c r="B137" s="164">
        <v>3</v>
      </c>
      <c r="C137" s="164"/>
      <c r="D137" s="165"/>
      <c r="E137" s="189" t="s">
        <v>37</v>
      </c>
      <c r="F137" s="167"/>
      <c r="G137" s="181">
        <v>0</v>
      </c>
      <c r="H137" s="169"/>
      <c r="I137" s="170"/>
      <c r="J137" s="171">
        <v>0</v>
      </c>
      <c r="K137" s="171">
        <f t="shared" si="8"/>
        <v>0</v>
      </c>
      <c r="L137" s="169"/>
      <c r="M137" s="170"/>
      <c r="N137" s="171">
        <v>0</v>
      </c>
      <c r="O137" s="171">
        <f t="shared" si="9"/>
        <v>0</v>
      </c>
      <c r="P137" s="172"/>
      <c r="Q137" s="173"/>
      <c r="R137" s="183">
        <v>0</v>
      </c>
      <c r="S137" s="184">
        <f t="shared" si="10"/>
        <v>0</v>
      </c>
      <c r="T137" s="185"/>
      <c r="U137" s="134">
        <f t="shared" si="7"/>
        <v>0</v>
      </c>
    </row>
    <row r="138" spans="1:21" ht="15.75">
      <c r="A138" s="163" t="s">
        <v>18</v>
      </c>
      <c r="B138" s="164">
        <v>4</v>
      </c>
      <c r="C138" s="164"/>
      <c r="D138" s="179"/>
      <c r="E138" s="186" t="s">
        <v>65</v>
      </c>
      <c r="F138" s="180"/>
      <c r="G138" s="181">
        <v>0</v>
      </c>
      <c r="H138" s="169"/>
      <c r="I138" s="170"/>
      <c r="J138" s="171">
        <v>0</v>
      </c>
      <c r="K138" s="171">
        <f t="shared" si="8"/>
        <v>0</v>
      </c>
      <c r="L138" s="169"/>
      <c r="M138" s="170"/>
      <c r="N138" s="171">
        <v>0</v>
      </c>
      <c r="O138" s="171">
        <f t="shared" si="9"/>
        <v>0</v>
      </c>
      <c r="P138" s="182"/>
      <c r="Q138" s="170"/>
      <c r="R138" s="183">
        <v>0</v>
      </c>
      <c r="S138" s="184">
        <f t="shared" si="10"/>
        <v>0</v>
      </c>
      <c r="T138" s="185"/>
      <c r="U138" s="134">
        <f aca="true" t="shared" si="11" ref="U138:U201">T138*G138</f>
        <v>0</v>
      </c>
    </row>
    <row r="139" spans="1:21" ht="15.75">
      <c r="A139" s="197" t="s">
        <v>18</v>
      </c>
      <c r="B139" s="198">
        <v>4</v>
      </c>
      <c r="C139" s="198">
        <v>1</v>
      </c>
      <c r="D139" s="179"/>
      <c r="E139" s="167" t="s">
        <v>66</v>
      </c>
      <c r="F139" s="180"/>
      <c r="G139" s="181">
        <v>0</v>
      </c>
      <c r="H139" s="169"/>
      <c r="I139" s="170"/>
      <c r="J139" s="171">
        <v>0</v>
      </c>
      <c r="K139" s="171">
        <f t="shared" si="8"/>
        <v>0</v>
      </c>
      <c r="L139" s="169"/>
      <c r="M139" s="170"/>
      <c r="N139" s="171">
        <v>0</v>
      </c>
      <c r="O139" s="171">
        <f t="shared" si="9"/>
        <v>0</v>
      </c>
      <c r="P139" s="182"/>
      <c r="Q139" s="170"/>
      <c r="R139" s="183">
        <v>0</v>
      </c>
      <c r="S139" s="184">
        <f t="shared" si="10"/>
        <v>0</v>
      </c>
      <c r="T139" s="176"/>
      <c r="U139" s="134">
        <f t="shared" si="11"/>
        <v>0</v>
      </c>
    </row>
    <row r="140" spans="1:21" ht="54">
      <c r="A140" s="177" t="s">
        <v>18</v>
      </c>
      <c r="B140" s="178">
        <v>4</v>
      </c>
      <c r="C140" s="178">
        <v>1</v>
      </c>
      <c r="D140" s="179"/>
      <c r="E140" s="199" t="s">
        <v>428</v>
      </c>
      <c r="F140" s="180"/>
      <c r="G140" s="181">
        <v>0</v>
      </c>
      <c r="H140" s="169"/>
      <c r="I140" s="170"/>
      <c r="J140" s="171">
        <v>0</v>
      </c>
      <c r="K140" s="171">
        <f t="shared" si="8"/>
        <v>0</v>
      </c>
      <c r="L140" s="169"/>
      <c r="M140" s="170"/>
      <c r="N140" s="171">
        <v>0</v>
      </c>
      <c r="O140" s="171">
        <f t="shared" si="9"/>
        <v>0</v>
      </c>
      <c r="P140" s="182"/>
      <c r="Q140" s="170"/>
      <c r="R140" s="183">
        <v>0</v>
      </c>
      <c r="S140" s="184">
        <f t="shared" si="10"/>
        <v>0</v>
      </c>
      <c r="T140" s="185"/>
      <c r="U140" s="134">
        <f t="shared" si="11"/>
        <v>0</v>
      </c>
    </row>
    <row r="141" spans="1:21" ht="27.75">
      <c r="A141" s="177" t="s">
        <v>18</v>
      </c>
      <c r="B141" s="178">
        <v>4</v>
      </c>
      <c r="C141" s="178">
        <v>1</v>
      </c>
      <c r="D141" s="179">
        <v>1</v>
      </c>
      <c r="E141" s="166" t="s">
        <v>429</v>
      </c>
      <c r="F141" s="200" t="s">
        <v>64</v>
      </c>
      <c r="G141" s="181">
        <v>358.15</v>
      </c>
      <c r="H141" s="169" t="s">
        <v>129</v>
      </c>
      <c r="I141" s="170">
        <f>ROUNDUP(G141*0.25,0)</f>
        <v>90</v>
      </c>
      <c r="J141" s="171">
        <v>26</v>
      </c>
      <c r="K141" s="171">
        <f t="shared" si="8"/>
        <v>292.5</v>
      </c>
      <c r="L141" s="169" t="s">
        <v>145</v>
      </c>
      <c r="M141" s="170">
        <f>ROUNDUP(G141*1.25/3.5,0)</f>
        <v>128</v>
      </c>
      <c r="N141" s="171">
        <v>5.242103696256244</v>
      </c>
      <c r="O141" s="171">
        <f t="shared" si="9"/>
        <v>670.9892731207992</v>
      </c>
      <c r="P141" s="182"/>
      <c r="Q141" s="170"/>
      <c r="R141" s="183">
        <v>0</v>
      </c>
      <c r="S141" s="184">
        <f t="shared" si="10"/>
        <v>0</v>
      </c>
      <c r="T141" s="185">
        <f>(SUM(K141:K143,O141:O143,S141:S143)/G141)*1.02</f>
        <v>6.467367449772135</v>
      </c>
      <c r="U141" s="134">
        <f t="shared" si="11"/>
        <v>2316.2876521358903</v>
      </c>
    </row>
    <row r="142" spans="1:21" ht="15.75">
      <c r="A142" s="177"/>
      <c r="B142" s="178"/>
      <c r="C142" s="178"/>
      <c r="D142" s="179"/>
      <c r="E142" s="166"/>
      <c r="F142" s="200"/>
      <c r="G142" s="181"/>
      <c r="H142" s="169" t="s">
        <v>142</v>
      </c>
      <c r="I142" s="170">
        <f>ROUNDUP(G141*0.25,0)</f>
        <v>90</v>
      </c>
      <c r="J142" s="171">
        <v>52</v>
      </c>
      <c r="K142" s="171">
        <f t="shared" si="8"/>
        <v>585</v>
      </c>
      <c r="L142" s="169" t="s">
        <v>146</v>
      </c>
      <c r="M142" s="170">
        <f>G141*0.049</f>
        <v>17.54935</v>
      </c>
      <c r="N142" s="171">
        <v>12.080275</v>
      </c>
      <c r="O142" s="171">
        <f t="shared" si="9"/>
        <v>212.00097407125</v>
      </c>
      <c r="P142" s="182"/>
      <c r="Q142" s="170"/>
      <c r="R142" s="183">
        <v>0</v>
      </c>
      <c r="S142" s="184">
        <f t="shared" si="10"/>
        <v>0</v>
      </c>
      <c r="T142" s="185"/>
      <c r="U142" s="134">
        <f t="shared" si="11"/>
        <v>0</v>
      </c>
    </row>
    <row r="143" spans="1:21" ht="15.75">
      <c r="A143" s="177"/>
      <c r="B143" s="178"/>
      <c r="C143" s="178"/>
      <c r="D143" s="179"/>
      <c r="E143" s="166"/>
      <c r="F143" s="200"/>
      <c r="G143" s="181"/>
      <c r="H143" s="169" t="s">
        <v>144</v>
      </c>
      <c r="I143" s="170">
        <f>ROUNDUP(G141*0.25,0)</f>
        <v>90</v>
      </c>
      <c r="J143" s="171">
        <v>39</v>
      </c>
      <c r="K143" s="171">
        <f t="shared" si="8"/>
        <v>438.75</v>
      </c>
      <c r="L143" s="169" t="s">
        <v>147</v>
      </c>
      <c r="M143" s="170">
        <f>G141*0.2</f>
        <v>71.63</v>
      </c>
      <c r="N143" s="171">
        <v>1</v>
      </c>
      <c r="O143" s="171">
        <f t="shared" si="9"/>
        <v>71.63</v>
      </c>
      <c r="P143" s="182"/>
      <c r="Q143" s="170"/>
      <c r="R143" s="183">
        <v>0</v>
      </c>
      <c r="S143" s="184">
        <f t="shared" si="10"/>
        <v>0</v>
      </c>
      <c r="T143" s="188"/>
      <c r="U143" s="134">
        <f t="shared" si="11"/>
        <v>0</v>
      </c>
    </row>
    <row r="144" spans="1:21" ht="27.75">
      <c r="A144" s="177" t="s">
        <v>18</v>
      </c>
      <c r="B144" s="178">
        <v>4</v>
      </c>
      <c r="C144" s="178">
        <v>1</v>
      </c>
      <c r="D144" s="179">
        <v>2</v>
      </c>
      <c r="E144" s="166" t="s">
        <v>430</v>
      </c>
      <c r="F144" s="200" t="s">
        <v>64</v>
      </c>
      <c r="G144" s="181">
        <v>105.4</v>
      </c>
      <c r="H144" s="169" t="s">
        <v>129</v>
      </c>
      <c r="I144" s="170">
        <f>ROUNDUP(G144*0.25,0)</f>
        <v>27</v>
      </c>
      <c r="J144" s="171">
        <v>26</v>
      </c>
      <c r="K144" s="171">
        <f t="shared" si="8"/>
        <v>87.75</v>
      </c>
      <c r="L144" s="192" t="s">
        <v>143</v>
      </c>
      <c r="M144" s="170">
        <f>ROUNDUP(G144*1.25/3.5,0)</f>
        <v>38</v>
      </c>
      <c r="N144" s="171">
        <v>4.742103696256244</v>
      </c>
      <c r="O144" s="171">
        <f t="shared" si="9"/>
        <v>180.19994045773728</v>
      </c>
      <c r="P144" s="182"/>
      <c r="Q144" s="170"/>
      <c r="R144" s="183">
        <v>0</v>
      </c>
      <c r="S144" s="184">
        <f t="shared" si="10"/>
        <v>0</v>
      </c>
      <c r="T144" s="185">
        <f>(SUM(K144:K146,O144:O146,S144:S146)/G144)*1.02</f>
        <v>6.3730135037684255</v>
      </c>
      <c r="U144" s="134">
        <f t="shared" si="11"/>
        <v>671.7156232971921</v>
      </c>
    </row>
    <row r="145" spans="1:21" ht="15.75">
      <c r="A145" s="177"/>
      <c r="B145" s="178"/>
      <c r="C145" s="178"/>
      <c r="D145" s="179"/>
      <c r="E145" s="166"/>
      <c r="F145" s="200"/>
      <c r="G145" s="181"/>
      <c r="H145" s="169" t="s">
        <v>142</v>
      </c>
      <c r="I145" s="170">
        <f>ROUNDUP(G144*0.25,0)</f>
        <v>27</v>
      </c>
      <c r="J145" s="171">
        <v>52</v>
      </c>
      <c r="K145" s="171">
        <f t="shared" si="8"/>
        <v>175.5</v>
      </c>
      <c r="L145" s="169" t="s">
        <v>146</v>
      </c>
      <c r="M145" s="170">
        <f>G144*0.049</f>
        <v>5.1646</v>
      </c>
      <c r="N145" s="171">
        <v>12.080275</v>
      </c>
      <c r="O145" s="171">
        <f t="shared" si="9"/>
        <v>62.389788265</v>
      </c>
      <c r="P145" s="182"/>
      <c r="Q145" s="170"/>
      <c r="R145" s="183">
        <v>0</v>
      </c>
      <c r="S145" s="184">
        <f t="shared" si="10"/>
        <v>0</v>
      </c>
      <c r="T145" s="185"/>
      <c r="U145" s="134">
        <f t="shared" si="11"/>
        <v>0</v>
      </c>
    </row>
    <row r="146" spans="1:21" ht="15.75">
      <c r="A146" s="177"/>
      <c r="B146" s="178"/>
      <c r="C146" s="178"/>
      <c r="D146" s="179"/>
      <c r="E146" s="166"/>
      <c r="F146" s="200"/>
      <c r="G146" s="181"/>
      <c r="H146" s="169" t="s">
        <v>144</v>
      </c>
      <c r="I146" s="170">
        <f>ROUNDUP(G144*0.25,0)</f>
        <v>27</v>
      </c>
      <c r="J146" s="171">
        <v>39</v>
      </c>
      <c r="K146" s="171">
        <f t="shared" si="8"/>
        <v>131.625</v>
      </c>
      <c r="L146" s="169" t="s">
        <v>147</v>
      </c>
      <c r="M146" s="170">
        <f>G144*0.2</f>
        <v>21.080000000000002</v>
      </c>
      <c r="N146" s="171">
        <v>1</v>
      </c>
      <c r="O146" s="171">
        <f t="shared" si="9"/>
        <v>21.080000000000002</v>
      </c>
      <c r="P146" s="182"/>
      <c r="Q146" s="170"/>
      <c r="R146" s="183">
        <v>0</v>
      </c>
      <c r="S146" s="184">
        <f t="shared" si="10"/>
        <v>0</v>
      </c>
      <c r="T146" s="188"/>
      <c r="U146" s="134">
        <f t="shared" si="11"/>
        <v>0</v>
      </c>
    </row>
    <row r="147" spans="1:21" ht="27.75">
      <c r="A147" s="177" t="s">
        <v>18</v>
      </c>
      <c r="B147" s="178">
        <v>4</v>
      </c>
      <c r="C147" s="178">
        <v>1</v>
      </c>
      <c r="D147" s="179">
        <v>3</v>
      </c>
      <c r="E147" s="166" t="s">
        <v>431</v>
      </c>
      <c r="F147" s="200" t="s">
        <v>64</v>
      </c>
      <c r="G147" s="181">
        <v>341.6</v>
      </c>
      <c r="H147" s="169" t="s">
        <v>129</v>
      </c>
      <c r="I147" s="170">
        <f>ROUNDUP(G147*0.25,0)</f>
        <v>86</v>
      </c>
      <c r="J147" s="171">
        <v>26</v>
      </c>
      <c r="K147" s="171">
        <f t="shared" si="8"/>
        <v>279.5</v>
      </c>
      <c r="L147" s="192" t="s">
        <v>171</v>
      </c>
      <c r="M147" s="170">
        <f>G147*1.05</f>
        <v>358.68000000000006</v>
      </c>
      <c r="N147" s="171">
        <v>7</v>
      </c>
      <c r="O147" s="171">
        <f t="shared" si="9"/>
        <v>2510.76</v>
      </c>
      <c r="P147" s="182"/>
      <c r="Q147" s="170"/>
      <c r="R147" s="183">
        <v>0</v>
      </c>
      <c r="S147" s="184">
        <f t="shared" si="10"/>
        <v>0</v>
      </c>
      <c r="T147" s="185">
        <f>(SUM(K147:L149,O147:O149,S147:S149)/G147)*1.02</f>
        <v>12.060348842392271</v>
      </c>
      <c r="U147" s="134">
        <f t="shared" si="11"/>
        <v>4119.8151645612</v>
      </c>
    </row>
    <row r="148" spans="1:21" ht="15.75">
      <c r="A148" s="177"/>
      <c r="B148" s="178"/>
      <c r="C148" s="178"/>
      <c r="D148" s="179"/>
      <c r="E148" s="166"/>
      <c r="F148" s="200"/>
      <c r="G148" s="181"/>
      <c r="H148" s="169" t="s">
        <v>142</v>
      </c>
      <c r="I148" s="170">
        <f>ROUNDUP(G147*0.25,0)</f>
        <v>86</v>
      </c>
      <c r="J148" s="171">
        <v>52</v>
      </c>
      <c r="K148" s="171">
        <f aca="true" t="shared" si="12" ref="K148:K211">I148*J148/8</f>
        <v>559</v>
      </c>
      <c r="L148" s="169" t="s">
        <v>146</v>
      </c>
      <c r="M148" s="170">
        <f>G147*0.049</f>
        <v>16.738400000000002</v>
      </c>
      <c r="N148" s="171">
        <v>12.080275</v>
      </c>
      <c r="O148" s="171">
        <f aca="true" t="shared" si="13" ref="O148:O211">M148*N148</f>
        <v>202.20447506000002</v>
      </c>
      <c r="P148" s="182"/>
      <c r="Q148" s="170"/>
      <c r="R148" s="183">
        <v>0</v>
      </c>
      <c r="S148" s="184">
        <f aca="true" t="shared" si="14" ref="S148:S211">R148*Q148</f>
        <v>0</v>
      </c>
      <c r="T148" s="185"/>
      <c r="U148" s="134">
        <f t="shared" si="11"/>
        <v>0</v>
      </c>
    </row>
    <row r="149" spans="1:21" ht="15.75">
      <c r="A149" s="177"/>
      <c r="B149" s="178"/>
      <c r="C149" s="178"/>
      <c r="D149" s="179"/>
      <c r="E149" s="166"/>
      <c r="F149" s="200"/>
      <c r="G149" s="181"/>
      <c r="H149" s="169" t="s">
        <v>144</v>
      </c>
      <c r="I149" s="170">
        <f>ROUNDUP(G147*0.25,0)</f>
        <v>86</v>
      </c>
      <c r="J149" s="171">
        <v>39</v>
      </c>
      <c r="K149" s="171">
        <f t="shared" si="12"/>
        <v>419.25</v>
      </c>
      <c r="L149" s="169" t="s">
        <v>147</v>
      </c>
      <c r="M149" s="170">
        <f>G147*0.2</f>
        <v>68.32000000000001</v>
      </c>
      <c r="N149" s="171">
        <v>1</v>
      </c>
      <c r="O149" s="171">
        <f t="shared" si="13"/>
        <v>68.32000000000001</v>
      </c>
      <c r="P149" s="182"/>
      <c r="Q149" s="170"/>
      <c r="R149" s="183">
        <v>0</v>
      </c>
      <c r="S149" s="184">
        <f t="shared" si="14"/>
        <v>0</v>
      </c>
      <c r="T149" s="188"/>
      <c r="U149" s="134">
        <f t="shared" si="11"/>
        <v>0</v>
      </c>
    </row>
    <row r="150" spans="1:21" ht="15.75">
      <c r="A150" s="197" t="s">
        <v>18</v>
      </c>
      <c r="B150" s="198">
        <v>4</v>
      </c>
      <c r="C150" s="198">
        <v>2</v>
      </c>
      <c r="D150" s="201"/>
      <c r="E150" s="186" t="s">
        <v>67</v>
      </c>
      <c r="F150" s="202"/>
      <c r="G150" s="181">
        <v>0</v>
      </c>
      <c r="H150" s="169"/>
      <c r="I150" s="170"/>
      <c r="J150" s="171">
        <v>0</v>
      </c>
      <c r="K150" s="171">
        <f t="shared" si="12"/>
        <v>0</v>
      </c>
      <c r="L150" s="169"/>
      <c r="M150" s="170"/>
      <c r="N150" s="171">
        <v>0</v>
      </c>
      <c r="O150" s="171">
        <f t="shared" si="13"/>
        <v>0</v>
      </c>
      <c r="P150" s="182"/>
      <c r="Q150" s="170"/>
      <c r="R150" s="183">
        <v>0</v>
      </c>
      <c r="S150" s="184">
        <f t="shared" si="14"/>
        <v>0</v>
      </c>
      <c r="T150" s="188"/>
      <c r="U150" s="134">
        <f t="shared" si="11"/>
        <v>0</v>
      </c>
    </row>
    <row r="151" spans="1:21" s="109" customFormat="1" ht="66.75">
      <c r="A151" s="203" t="s">
        <v>18</v>
      </c>
      <c r="B151" s="204">
        <v>4</v>
      </c>
      <c r="C151" s="204">
        <v>2</v>
      </c>
      <c r="D151" s="205">
        <v>1</v>
      </c>
      <c r="E151" s="199" t="s">
        <v>461</v>
      </c>
      <c r="F151" s="200" t="s">
        <v>35</v>
      </c>
      <c r="G151" s="181">
        <v>135.3</v>
      </c>
      <c r="H151" s="169" t="s">
        <v>129</v>
      </c>
      <c r="I151" s="170">
        <f>ROUNDUP(G151*2,0)</f>
        <v>271</v>
      </c>
      <c r="J151" s="171">
        <v>26</v>
      </c>
      <c r="K151" s="171">
        <f t="shared" si="12"/>
        <v>880.75</v>
      </c>
      <c r="L151" s="169" t="s">
        <v>172</v>
      </c>
      <c r="M151" s="170">
        <f>G151*1.1</f>
        <v>148.83</v>
      </c>
      <c r="N151" s="171">
        <v>26.8506875</v>
      </c>
      <c r="O151" s="171">
        <f t="shared" si="13"/>
        <v>3996.1878206250003</v>
      </c>
      <c r="P151" s="182"/>
      <c r="Q151" s="170"/>
      <c r="R151" s="183">
        <v>0</v>
      </c>
      <c r="S151" s="184">
        <f t="shared" si="14"/>
        <v>0</v>
      </c>
      <c r="T151" s="185">
        <f>(SUM(K151:K155,O151:O155,S151:S155)/G151)*1.02</f>
        <v>81.89756503482661</v>
      </c>
      <c r="U151" s="134">
        <f t="shared" si="11"/>
        <v>11080.740549212042</v>
      </c>
    </row>
    <row r="152" spans="1:21" s="109" customFormat="1" ht="15.75">
      <c r="A152" s="203"/>
      <c r="B152" s="204"/>
      <c r="C152" s="204"/>
      <c r="D152" s="205"/>
      <c r="E152" s="199"/>
      <c r="F152" s="200"/>
      <c r="G152" s="181"/>
      <c r="H152" s="169" t="s">
        <v>142</v>
      </c>
      <c r="I152" s="170">
        <f>ROUNDUP(G151*1,0)</f>
        <v>136</v>
      </c>
      <c r="J152" s="171">
        <v>52</v>
      </c>
      <c r="K152" s="171">
        <f t="shared" si="12"/>
        <v>884</v>
      </c>
      <c r="L152" s="169" t="s">
        <v>173</v>
      </c>
      <c r="M152" s="170">
        <f>G151*3.6</f>
        <v>487.08000000000004</v>
      </c>
      <c r="N152" s="171">
        <v>4.12844</v>
      </c>
      <c r="O152" s="171">
        <f t="shared" si="13"/>
        <v>2010.8805552000003</v>
      </c>
      <c r="P152" s="182"/>
      <c r="Q152" s="170"/>
      <c r="R152" s="183">
        <v>0</v>
      </c>
      <c r="S152" s="184">
        <f t="shared" si="14"/>
        <v>0</v>
      </c>
      <c r="T152" s="185"/>
      <c r="U152" s="134">
        <f t="shared" si="11"/>
        <v>0</v>
      </c>
    </row>
    <row r="153" spans="1:21" s="109" customFormat="1" ht="15.75">
      <c r="A153" s="203"/>
      <c r="B153" s="204"/>
      <c r="C153" s="204"/>
      <c r="D153" s="205"/>
      <c r="E153" s="199"/>
      <c r="F153" s="200"/>
      <c r="G153" s="181"/>
      <c r="H153" s="169" t="s">
        <v>144</v>
      </c>
      <c r="I153" s="170">
        <f>ROUNDUP(G151*1,0)</f>
        <v>136</v>
      </c>
      <c r="J153" s="171">
        <v>39</v>
      </c>
      <c r="K153" s="171">
        <f t="shared" si="12"/>
        <v>663</v>
      </c>
      <c r="L153" s="169" t="s">
        <v>174</v>
      </c>
      <c r="M153" s="170">
        <f>G151*4</f>
        <v>541.2</v>
      </c>
      <c r="N153" s="171">
        <v>3</v>
      </c>
      <c r="O153" s="171">
        <f t="shared" si="13"/>
        <v>1623.6000000000001</v>
      </c>
      <c r="P153" s="182"/>
      <c r="Q153" s="170"/>
      <c r="R153" s="183">
        <v>0</v>
      </c>
      <c r="S153" s="184">
        <f t="shared" si="14"/>
        <v>0</v>
      </c>
      <c r="T153" s="185"/>
      <c r="U153" s="134">
        <f t="shared" si="11"/>
        <v>0</v>
      </c>
    </row>
    <row r="154" spans="1:21" s="109" customFormat="1" ht="15.75">
      <c r="A154" s="203"/>
      <c r="B154" s="204"/>
      <c r="C154" s="204"/>
      <c r="D154" s="205"/>
      <c r="E154" s="199"/>
      <c r="F154" s="200"/>
      <c r="G154" s="181"/>
      <c r="H154" s="169"/>
      <c r="I154" s="170"/>
      <c r="J154" s="171">
        <v>0</v>
      </c>
      <c r="K154" s="171">
        <f t="shared" si="12"/>
        <v>0</v>
      </c>
      <c r="L154" s="169" t="s">
        <v>146</v>
      </c>
      <c r="M154" s="170">
        <f>G151*0.1</f>
        <v>13.530000000000001</v>
      </c>
      <c r="N154" s="171">
        <v>12.080275</v>
      </c>
      <c r="O154" s="171">
        <f t="shared" si="13"/>
        <v>163.44612075</v>
      </c>
      <c r="P154" s="182"/>
      <c r="Q154" s="170"/>
      <c r="R154" s="183">
        <v>0</v>
      </c>
      <c r="S154" s="184">
        <f t="shared" si="14"/>
        <v>0</v>
      </c>
      <c r="T154" s="185"/>
      <c r="U154" s="134">
        <f t="shared" si="11"/>
        <v>0</v>
      </c>
    </row>
    <row r="155" spans="1:21" s="109" customFormat="1" ht="15.75">
      <c r="A155" s="203"/>
      <c r="B155" s="204"/>
      <c r="C155" s="204"/>
      <c r="D155" s="205"/>
      <c r="E155" s="199"/>
      <c r="F155" s="200"/>
      <c r="G155" s="181"/>
      <c r="H155" s="169"/>
      <c r="I155" s="170"/>
      <c r="J155" s="171">
        <v>0</v>
      </c>
      <c r="K155" s="171">
        <f t="shared" si="12"/>
        <v>0</v>
      </c>
      <c r="L155" s="192" t="s">
        <v>143</v>
      </c>
      <c r="M155" s="170">
        <f>G151*1</f>
        <v>135.3</v>
      </c>
      <c r="N155" s="171">
        <v>4.742103696256244</v>
      </c>
      <c r="O155" s="171">
        <f t="shared" si="13"/>
        <v>641.6066301034699</v>
      </c>
      <c r="P155" s="182"/>
      <c r="Q155" s="170"/>
      <c r="R155" s="183">
        <v>0</v>
      </c>
      <c r="S155" s="184">
        <f t="shared" si="14"/>
        <v>0</v>
      </c>
      <c r="T155" s="206"/>
      <c r="U155" s="134">
        <f t="shared" si="11"/>
        <v>0</v>
      </c>
    </row>
    <row r="156" spans="1:21" s="109" customFormat="1" ht="15.75">
      <c r="A156" s="203" t="s">
        <v>18</v>
      </c>
      <c r="B156" s="204">
        <v>4</v>
      </c>
      <c r="C156" s="204">
        <v>2</v>
      </c>
      <c r="D156" s="205">
        <v>1</v>
      </c>
      <c r="E156" s="199" t="s">
        <v>68</v>
      </c>
      <c r="F156" s="200" t="s">
        <v>35</v>
      </c>
      <c r="G156" s="181">
        <v>26.32</v>
      </c>
      <c r="H156" s="169" t="s">
        <v>129</v>
      </c>
      <c r="I156" s="170">
        <f>ROUNDUP(G156*2,0)</f>
        <v>53</v>
      </c>
      <c r="J156" s="171">
        <v>26</v>
      </c>
      <c r="K156" s="171">
        <f t="shared" si="12"/>
        <v>172.25</v>
      </c>
      <c r="L156" s="169" t="s">
        <v>175</v>
      </c>
      <c r="M156" s="170">
        <f>G156*1.1</f>
        <v>28.952</v>
      </c>
      <c r="N156" s="171">
        <v>95.62206350000001</v>
      </c>
      <c r="O156" s="171">
        <f t="shared" si="13"/>
        <v>2768.4499824520003</v>
      </c>
      <c r="P156" s="182"/>
      <c r="Q156" s="170"/>
      <c r="R156" s="183">
        <v>0</v>
      </c>
      <c r="S156" s="184">
        <f t="shared" si="14"/>
        <v>0</v>
      </c>
      <c r="T156" s="185">
        <f>(SUM(K156:K159,O156:O159,S156:S159)/G156)*1.02</f>
        <v>154.49737756058664</v>
      </c>
      <c r="U156" s="134">
        <f t="shared" si="11"/>
        <v>4066.3709773946402</v>
      </c>
    </row>
    <row r="157" spans="1:21" s="109" customFormat="1" ht="15.75">
      <c r="A157" s="203"/>
      <c r="B157" s="204"/>
      <c r="C157" s="204"/>
      <c r="D157" s="205"/>
      <c r="E157" s="199"/>
      <c r="F157" s="200"/>
      <c r="G157" s="181"/>
      <c r="H157" s="169" t="s">
        <v>142</v>
      </c>
      <c r="I157" s="170">
        <f>ROUNDUP(G156*1,0)</f>
        <v>27</v>
      </c>
      <c r="J157" s="171">
        <v>52</v>
      </c>
      <c r="K157" s="171">
        <f t="shared" si="12"/>
        <v>175.5</v>
      </c>
      <c r="L157" s="169" t="s">
        <v>173</v>
      </c>
      <c r="M157" s="170">
        <f>G156*3.6</f>
        <v>94.75200000000001</v>
      </c>
      <c r="N157" s="171">
        <v>4.12844</v>
      </c>
      <c r="O157" s="171">
        <f t="shared" si="13"/>
        <v>391.1779468800001</v>
      </c>
      <c r="P157" s="182"/>
      <c r="Q157" s="170"/>
      <c r="R157" s="183">
        <v>0</v>
      </c>
      <c r="S157" s="184">
        <f t="shared" si="14"/>
        <v>0</v>
      </c>
      <c r="T157" s="176"/>
      <c r="U157" s="134">
        <f t="shared" si="11"/>
        <v>0</v>
      </c>
    </row>
    <row r="158" spans="1:21" s="109" customFormat="1" ht="15.75">
      <c r="A158" s="203"/>
      <c r="B158" s="204"/>
      <c r="C158" s="204"/>
      <c r="D158" s="205"/>
      <c r="E158" s="199"/>
      <c r="F158" s="200"/>
      <c r="G158" s="181"/>
      <c r="H158" s="169" t="s">
        <v>144</v>
      </c>
      <c r="I158" s="170">
        <f>ROUNDUP(G156*1,0)</f>
        <v>27</v>
      </c>
      <c r="J158" s="171">
        <v>39</v>
      </c>
      <c r="K158" s="171">
        <f t="shared" si="12"/>
        <v>131.625</v>
      </c>
      <c r="L158" s="169" t="s">
        <v>174</v>
      </c>
      <c r="M158" s="170">
        <f>G156*4</f>
        <v>105.28</v>
      </c>
      <c r="N158" s="171">
        <v>3</v>
      </c>
      <c r="O158" s="171">
        <f t="shared" si="13"/>
        <v>315.84000000000003</v>
      </c>
      <c r="P158" s="182"/>
      <c r="Q158" s="170"/>
      <c r="R158" s="183">
        <v>0</v>
      </c>
      <c r="S158" s="184">
        <f t="shared" si="14"/>
        <v>0</v>
      </c>
      <c r="T158" s="206"/>
      <c r="U158" s="134">
        <f t="shared" si="11"/>
        <v>0</v>
      </c>
    </row>
    <row r="159" spans="1:21" s="109" customFormat="1" ht="15.75">
      <c r="A159" s="203"/>
      <c r="B159" s="204"/>
      <c r="C159" s="204"/>
      <c r="D159" s="205"/>
      <c r="E159" s="199"/>
      <c r="F159" s="200"/>
      <c r="G159" s="181"/>
      <c r="H159" s="169"/>
      <c r="I159" s="170"/>
      <c r="J159" s="171">
        <v>0</v>
      </c>
      <c r="K159" s="171">
        <f t="shared" si="12"/>
        <v>0</v>
      </c>
      <c r="L159" s="169" t="s">
        <v>146</v>
      </c>
      <c r="M159" s="170">
        <f>G156*0.1</f>
        <v>2.632</v>
      </c>
      <c r="N159" s="171">
        <v>12.080275</v>
      </c>
      <c r="O159" s="171">
        <f t="shared" si="13"/>
        <v>31.795283800000004</v>
      </c>
      <c r="P159" s="182"/>
      <c r="Q159" s="170"/>
      <c r="R159" s="183">
        <v>0</v>
      </c>
      <c r="S159" s="184">
        <f t="shared" si="14"/>
        <v>0</v>
      </c>
      <c r="T159" s="176"/>
      <c r="U159" s="134">
        <f t="shared" si="11"/>
        <v>0</v>
      </c>
    </row>
    <row r="160" spans="1:21" ht="15.75">
      <c r="A160" s="163" t="s">
        <v>18</v>
      </c>
      <c r="B160" s="164">
        <v>4</v>
      </c>
      <c r="C160" s="164">
        <v>2</v>
      </c>
      <c r="D160" s="165"/>
      <c r="E160" s="166" t="s">
        <v>69</v>
      </c>
      <c r="F160" s="167"/>
      <c r="G160" s="181">
        <v>0</v>
      </c>
      <c r="H160" s="169"/>
      <c r="I160" s="170"/>
      <c r="J160" s="171">
        <v>0</v>
      </c>
      <c r="K160" s="171">
        <f t="shared" si="12"/>
        <v>0</v>
      </c>
      <c r="L160" s="169"/>
      <c r="M160" s="170"/>
      <c r="N160" s="171">
        <v>0</v>
      </c>
      <c r="O160" s="171">
        <f t="shared" si="13"/>
        <v>0</v>
      </c>
      <c r="P160" s="182"/>
      <c r="Q160" s="170"/>
      <c r="R160" s="183">
        <v>0</v>
      </c>
      <c r="S160" s="184">
        <f t="shared" si="14"/>
        <v>0</v>
      </c>
      <c r="T160" s="176"/>
      <c r="U160" s="134">
        <f t="shared" si="11"/>
        <v>0</v>
      </c>
    </row>
    <row r="161" spans="1:21" s="128" customFormat="1" ht="40.5">
      <c r="A161" s="203" t="s">
        <v>18</v>
      </c>
      <c r="B161" s="204">
        <v>4</v>
      </c>
      <c r="C161" s="204">
        <v>2</v>
      </c>
      <c r="D161" s="207">
        <v>3</v>
      </c>
      <c r="E161" s="199" t="s">
        <v>433</v>
      </c>
      <c r="F161" s="199" t="s">
        <v>176</v>
      </c>
      <c r="G161" s="181">
        <v>68.19999999999999</v>
      </c>
      <c r="H161" s="169" t="s">
        <v>129</v>
      </c>
      <c r="I161" s="170">
        <f>ROUNDUP(G161*0.66,0)</f>
        <v>46</v>
      </c>
      <c r="J161" s="171">
        <v>26</v>
      </c>
      <c r="K161" s="171">
        <f t="shared" si="12"/>
        <v>149.5</v>
      </c>
      <c r="L161" s="169" t="s">
        <v>148</v>
      </c>
      <c r="M161" s="170">
        <f>G161*0.01</f>
        <v>0.6819999999999999</v>
      </c>
      <c r="N161" s="171">
        <v>4250</v>
      </c>
      <c r="O161" s="171">
        <f t="shared" si="13"/>
        <v>2898.4999999999995</v>
      </c>
      <c r="P161" s="182"/>
      <c r="Q161" s="170"/>
      <c r="R161" s="183">
        <v>0</v>
      </c>
      <c r="S161" s="184">
        <f t="shared" si="14"/>
        <v>0</v>
      </c>
      <c r="T161" s="185">
        <f>(SUM(K161:K163,O161:O163,S161:S163)/G161)*1.02</f>
        <v>51.54147317758064</v>
      </c>
      <c r="U161" s="134">
        <f t="shared" si="11"/>
        <v>3515.128470710999</v>
      </c>
    </row>
    <row r="162" spans="1:21" s="128" customFormat="1" ht="15.75">
      <c r="A162" s="203"/>
      <c r="B162" s="204"/>
      <c r="C162" s="204"/>
      <c r="D162" s="207"/>
      <c r="E162" s="199"/>
      <c r="F162" s="199"/>
      <c r="G162" s="181"/>
      <c r="H162" s="169" t="s">
        <v>142</v>
      </c>
      <c r="I162" s="170">
        <f>ROUNDUP(G161*0.33,0)</f>
        <v>23</v>
      </c>
      <c r="J162" s="171">
        <v>52</v>
      </c>
      <c r="K162" s="171">
        <f t="shared" si="12"/>
        <v>149.5</v>
      </c>
      <c r="L162" s="169" t="s">
        <v>146</v>
      </c>
      <c r="M162" s="170">
        <f>G161*0.03</f>
        <v>2.0459999999999994</v>
      </c>
      <c r="N162" s="171">
        <v>12.080275</v>
      </c>
      <c r="O162" s="171">
        <f t="shared" si="13"/>
        <v>24.716242649999995</v>
      </c>
      <c r="P162" s="182"/>
      <c r="Q162" s="170"/>
      <c r="R162" s="183">
        <v>0</v>
      </c>
      <c r="S162" s="184">
        <f t="shared" si="14"/>
        <v>0</v>
      </c>
      <c r="T162" s="176"/>
      <c r="U162" s="134">
        <f t="shared" si="11"/>
        <v>0</v>
      </c>
    </row>
    <row r="163" spans="1:21" s="128" customFormat="1" ht="15.75">
      <c r="A163" s="203"/>
      <c r="B163" s="204"/>
      <c r="C163" s="204"/>
      <c r="D163" s="207"/>
      <c r="E163" s="199"/>
      <c r="F163" s="199"/>
      <c r="G163" s="181"/>
      <c r="H163" s="169" t="s">
        <v>144</v>
      </c>
      <c r="I163" s="170">
        <f>ROUNDUP(G161*0.33,0)</f>
        <v>23</v>
      </c>
      <c r="J163" s="171">
        <v>39</v>
      </c>
      <c r="K163" s="171">
        <f t="shared" si="12"/>
        <v>112.125</v>
      </c>
      <c r="L163" s="169" t="s">
        <v>177</v>
      </c>
      <c r="M163" s="170">
        <f>G161*0.02</f>
        <v>1.3639999999999999</v>
      </c>
      <c r="N163" s="171">
        <v>82.0111</v>
      </c>
      <c r="O163" s="171">
        <f t="shared" si="13"/>
        <v>111.86314039999999</v>
      </c>
      <c r="P163" s="182"/>
      <c r="Q163" s="170"/>
      <c r="R163" s="183">
        <v>0</v>
      </c>
      <c r="S163" s="184">
        <f t="shared" si="14"/>
        <v>0</v>
      </c>
      <c r="T163" s="176"/>
      <c r="U163" s="134">
        <f t="shared" si="11"/>
        <v>0</v>
      </c>
    </row>
    <row r="164" spans="1:21" s="109" customFormat="1" ht="15.75">
      <c r="A164" s="208" t="s">
        <v>18</v>
      </c>
      <c r="B164" s="209">
        <v>4</v>
      </c>
      <c r="C164" s="209">
        <v>3</v>
      </c>
      <c r="D164" s="210"/>
      <c r="E164" s="211" t="s">
        <v>70</v>
      </c>
      <c r="F164" s="71"/>
      <c r="G164" s="212"/>
      <c r="H164" s="213"/>
      <c r="I164" s="214"/>
      <c r="J164" s="171">
        <v>0</v>
      </c>
      <c r="K164" s="171">
        <f t="shared" si="12"/>
        <v>0</v>
      </c>
      <c r="L164" s="215"/>
      <c r="M164" s="216"/>
      <c r="N164" s="171">
        <v>0</v>
      </c>
      <c r="O164" s="171">
        <f t="shared" si="13"/>
        <v>0</v>
      </c>
      <c r="P164" s="217"/>
      <c r="Q164" s="216"/>
      <c r="R164" s="183">
        <v>0</v>
      </c>
      <c r="S164" s="184">
        <f t="shared" si="14"/>
        <v>0</v>
      </c>
      <c r="T164" s="185"/>
      <c r="U164" s="134">
        <f t="shared" si="11"/>
        <v>0</v>
      </c>
    </row>
    <row r="165" spans="1:21" s="109" customFormat="1" ht="51.75">
      <c r="A165" s="218" t="s">
        <v>18</v>
      </c>
      <c r="B165" s="219">
        <v>4</v>
      </c>
      <c r="C165" s="219">
        <v>3</v>
      </c>
      <c r="D165" s="220"/>
      <c r="E165" s="70" t="s">
        <v>71</v>
      </c>
      <c r="F165" s="69"/>
      <c r="G165" s="57"/>
      <c r="H165" s="221"/>
      <c r="I165" s="214"/>
      <c r="J165" s="171">
        <v>0</v>
      </c>
      <c r="K165" s="171">
        <f t="shared" si="12"/>
        <v>0</v>
      </c>
      <c r="L165" s="215"/>
      <c r="M165" s="216"/>
      <c r="N165" s="171">
        <v>0</v>
      </c>
      <c r="O165" s="171">
        <f t="shared" si="13"/>
        <v>0</v>
      </c>
      <c r="P165" s="217"/>
      <c r="Q165" s="216"/>
      <c r="R165" s="183">
        <v>0</v>
      </c>
      <c r="S165" s="184">
        <f t="shared" si="14"/>
        <v>0</v>
      </c>
      <c r="T165" s="206"/>
      <c r="U165" s="134">
        <f t="shared" si="11"/>
        <v>0</v>
      </c>
    </row>
    <row r="166" spans="1:21" s="109" customFormat="1" ht="15.75">
      <c r="A166" s="218" t="s">
        <v>18</v>
      </c>
      <c r="B166" s="219">
        <v>4</v>
      </c>
      <c r="C166" s="219">
        <v>3</v>
      </c>
      <c r="D166" s="220">
        <v>1</v>
      </c>
      <c r="E166" s="70" t="s">
        <v>72</v>
      </c>
      <c r="F166" s="69" t="s">
        <v>73</v>
      </c>
      <c r="G166" s="57">
        <v>3</v>
      </c>
      <c r="H166" s="169" t="s">
        <v>129</v>
      </c>
      <c r="I166" s="170">
        <f>ROUNDUP(G166*8,0)</f>
        <v>24</v>
      </c>
      <c r="J166" s="171">
        <v>26</v>
      </c>
      <c r="K166" s="171">
        <f t="shared" si="12"/>
        <v>78</v>
      </c>
      <c r="L166" s="169" t="s">
        <v>178</v>
      </c>
      <c r="M166" s="170">
        <f>0.9*2.1*G166</f>
        <v>5.67</v>
      </c>
      <c r="N166" s="171">
        <v>812.971</v>
      </c>
      <c r="O166" s="171">
        <f t="shared" si="13"/>
        <v>4609.54557</v>
      </c>
      <c r="P166" s="217"/>
      <c r="Q166" s="216"/>
      <c r="R166" s="183">
        <v>0</v>
      </c>
      <c r="S166" s="184">
        <f t="shared" si="14"/>
        <v>0</v>
      </c>
      <c r="T166" s="185">
        <f>IF(G166=0,0,(SUM(K166:K169,O166:O169,S166:S169)/G166)*1.02)</f>
        <v>1662.8705037858003</v>
      </c>
      <c r="U166" s="134">
        <f t="shared" si="11"/>
        <v>4988.6115113574015</v>
      </c>
    </row>
    <row r="167" spans="1:21" s="109" customFormat="1" ht="15.75">
      <c r="A167" s="218"/>
      <c r="B167" s="219"/>
      <c r="C167" s="219"/>
      <c r="D167" s="220"/>
      <c r="E167" s="70"/>
      <c r="F167" s="69"/>
      <c r="G167" s="57"/>
      <c r="H167" s="169" t="s">
        <v>142</v>
      </c>
      <c r="I167" s="170">
        <f>ROUNDUP(G166*4,0)</f>
        <v>12</v>
      </c>
      <c r="J167" s="171">
        <v>52</v>
      </c>
      <c r="K167" s="171">
        <f t="shared" si="12"/>
        <v>78</v>
      </c>
      <c r="L167" s="169" t="s">
        <v>165</v>
      </c>
      <c r="M167" s="170">
        <f>6*G166</f>
        <v>18</v>
      </c>
      <c r="N167" s="171">
        <v>0.1</v>
      </c>
      <c r="O167" s="171">
        <f t="shared" si="13"/>
        <v>1.8</v>
      </c>
      <c r="P167" s="217"/>
      <c r="Q167" s="216"/>
      <c r="R167" s="183">
        <v>0</v>
      </c>
      <c r="S167" s="184">
        <f t="shared" si="14"/>
        <v>0</v>
      </c>
      <c r="T167" s="222"/>
      <c r="U167" s="134">
        <f t="shared" si="11"/>
        <v>0</v>
      </c>
    </row>
    <row r="168" spans="1:21" s="109" customFormat="1" ht="15.75">
      <c r="A168" s="218"/>
      <c r="B168" s="219"/>
      <c r="C168" s="219"/>
      <c r="D168" s="220"/>
      <c r="E168" s="70"/>
      <c r="F168" s="69"/>
      <c r="G168" s="57"/>
      <c r="H168" s="169" t="s">
        <v>144</v>
      </c>
      <c r="I168" s="170">
        <f>ROUNDUP(G166*4,0)</f>
        <v>12</v>
      </c>
      <c r="J168" s="171">
        <v>39</v>
      </c>
      <c r="K168" s="171">
        <f t="shared" si="12"/>
        <v>58.5</v>
      </c>
      <c r="L168" s="169" t="s">
        <v>166</v>
      </c>
      <c r="M168" s="170">
        <f>6*G166</f>
        <v>18</v>
      </c>
      <c r="N168" s="171">
        <v>0.1</v>
      </c>
      <c r="O168" s="171">
        <f t="shared" si="13"/>
        <v>1.8</v>
      </c>
      <c r="P168" s="217"/>
      <c r="Q168" s="216"/>
      <c r="R168" s="183">
        <v>0</v>
      </c>
      <c r="S168" s="184">
        <f t="shared" si="14"/>
        <v>0</v>
      </c>
      <c r="T168" s="185"/>
      <c r="U168" s="134">
        <f t="shared" si="11"/>
        <v>0</v>
      </c>
    </row>
    <row r="169" spans="1:21" s="109" customFormat="1" ht="15.75">
      <c r="A169" s="218"/>
      <c r="B169" s="219"/>
      <c r="C169" s="219"/>
      <c r="D169" s="220"/>
      <c r="E169" s="70"/>
      <c r="F169" s="69"/>
      <c r="G169" s="57"/>
      <c r="H169" s="169" t="s">
        <v>179</v>
      </c>
      <c r="I169" s="170">
        <f>ROUNDUP(G166*4,0)</f>
        <v>12</v>
      </c>
      <c r="J169" s="171">
        <v>39</v>
      </c>
      <c r="K169" s="171">
        <f t="shared" si="12"/>
        <v>58.5</v>
      </c>
      <c r="L169" s="169" t="s">
        <v>177</v>
      </c>
      <c r="M169" s="170">
        <f>0.01*M166</f>
        <v>0.0567</v>
      </c>
      <c r="N169" s="171">
        <v>82.0111</v>
      </c>
      <c r="O169" s="171">
        <f t="shared" si="13"/>
        <v>4.65002937</v>
      </c>
      <c r="P169" s="217"/>
      <c r="Q169" s="216"/>
      <c r="R169" s="183">
        <v>0</v>
      </c>
      <c r="S169" s="184">
        <f t="shared" si="14"/>
        <v>0</v>
      </c>
      <c r="T169" s="176"/>
      <c r="U169" s="134">
        <f t="shared" si="11"/>
        <v>0</v>
      </c>
    </row>
    <row r="170" spans="1:21" ht="15.75">
      <c r="A170" s="197" t="s">
        <v>18</v>
      </c>
      <c r="B170" s="198">
        <v>5</v>
      </c>
      <c r="C170" s="198"/>
      <c r="D170" s="201"/>
      <c r="E170" s="189" t="s">
        <v>37</v>
      </c>
      <c r="F170" s="202"/>
      <c r="G170" s="181">
        <v>0</v>
      </c>
      <c r="H170" s="169"/>
      <c r="I170" s="170"/>
      <c r="J170" s="171">
        <v>0</v>
      </c>
      <c r="K170" s="171">
        <f t="shared" si="12"/>
        <v>0</v>
      </c>
      <c r="L170" s="169"/>
      <c r="M170" s="170"/>
      <c r="N170" s="171">
        <v>0</v>
      </c>
      <c r="O170" s="171">
        <f t="shared" si="13"/>
        <v>0</v>
      </c>
      <c r="P170" s="172"/>
      <c r="Q170" s="173"/>
      <c r="R170" s="183">
        <v>0</v>
      </c>
      <c r="S170" s="184">
        <f t="shared" si="14"/>
        <v>0</v>
      </c>
      <c r="T170" s="176"/>
      <c r="U170" s="134">
        <f t="shared" si="11"/>
        <v>0</v>
      </c>
    </row>
    <row r="171" spans="1:21" ht="15.75">
      <c r="A171" s="197" t="s">
        <v>18</v>
      </c>
      <c r="B171" s="198">
        <v>5</v>
      </c>
      <c r="C171" s="198"/>
      <c r="D171" s="201"/>
      <c r="E171" s="186" t="s">
        <v>74</v>
      </c>
      <c r="F171" s="202"/>
      <c r="G171" s="181">
        <v>0</v>
      </c>
      <c r="H171" s="169"/>
      <c r="I171" s="170"/>
      <c r="J171" s="171">
        <v>0</v>
      </c>
      <c r="K171" s="171">
        <f t="shared" si="12"/>
        <v>0</v>
      </c>
      <c r="L171" s="169"/>
      <c r="M171" s="170"/>
      <c r="N171" s="171">
        <v>0</v>
      </c>
      <c r="O171" s="171">
        <f t="shared" si="13"/>
        <v>0</v>
      </c>
      <c r="P171" s="182"/>
      <c r="Q171" s="170"/>
      <c r="R171" s="183">
        <v>0</v>
      </c>
      <c r="S171" s="184">
        <f t="shared" si="14"/>
        <v>0</v>
      </c>
      <c r="T171" s="176"/>
      <c r="U171" s="134">
        <f t="shared" si="11"/>
        <v>0</v>
      </c>
    </row>
    <row r="172" spans="1:21" s="109" customFormat="1" ht="51.75">
      <c r="A172" s="203" t="s">
        <v>18</v>
      </c>
      <c r="B172" s="204">
        <v>5</v>
      </c>
      <c r="C172" s="204"/>
      <c r="D172" s="205"/>
      <c r="E172" s="125" t="s">
        <v>180</v>
      </c>
      <c r="F172" s="200"/>
      <c r="G172" s="181">
        <v>0</v>
      </c>
      <c r="H172" s="169"/>
      <c r="I172" s="170"/>
      <c r="J172" s="171">
        <v>0</v>
      </c>
      <c r="K172" s="171">
        <f t="shared" si="12"/>
        <v>0</v>
      </c>
      <c r="L172" s="169"/>
      <c r="M172" s="170"/>
      <c r="N172" s="171">
        <v>0</v>
      </c>
      <c r="O172" s="171">
        <f t="shared" si="13"/>
        <v>0</v>
      </c>
      <c r="P172" s="172"/>
      <c r="Q172" s="173"/>
      <c r="R172" s="183">
        <v>0</v>
      </c>
      <c r="S172" s="184">
        <f t="shared" si="14"/>
        <v>0</v>
      </c>
      <c r="T172" s="176"/>
      <c r="U172" s="134">
        <f t="shared" si="11"/>
        <v>0</v>
      </c>
    </row>
    <row r="173" spans="1:21" ht="15.75">
      <c r="A173" s="197" t="s">
        <v>18</v>
      </c>
      <c r="B173" s="198">
        <v>5</v>
      </c>
      <c r="C173" s="198">
        <v>1</v>
      </c>
      <c r="D173" s="201"/>
      <c r="E173" s="186" t="s">
        <v>75</v>
      </c>
      <c r="F173" s="202"/>
      <c r="G173" s="181">
        <v>0</v>
      </c>
      <c r="H173" s="169"/>
      <c r="I173" s="170"/>
      <c r="J173" s="171">
        <v>0</v>
      </c>
      <c r="K173" s="171">
        <f t="shared" si="12"/>
        <v>0</v>
      </c>
      <c r="L173" s="169"/>
      <c r="M173" s="170"/>
      <c r="N173" s="171">
        <v>0</v>
      </c>
      <c r="O173" s="171">
        <f t="shared" si="13"/>
        <v>0</v>
      </c>
      <c r="P173" s="182"/>
      <c r="Q173" s="170"/>
      <c r="R173" s="183">
        <v>0</v>
      </c>
      <c r="S173" s="184">
        <f t="shared" si="14"/>
        <v>0</v>
      </c>
      <c r="T173" s="176"/>
      <c r="U173" s="134">
        <f t="shared" si="11"/>
        <v>0</v>
      </c>
    </row>
    <row r="174" spans="1:21" ht="15.75">
      <c r="A174" s="203" t="s">
        <v>18</v>
      </c>
      <c r="B174" s="204">
        <v>5</v>
      </c>
      <c r="C174" s="204">
        <v>1</v>
      </c>
      <c r="D174" s="205">
        <v>1</v>
      </c>
      <c r="E174" s="187" t="s">
        <v>72</v>
      </c>
      <c r="F174" s="200" t="s">
        <v>73</v>
      </c>
      <c r="G174" s="181">
        <v>5</v>
      </c>
      <c r="H174" s="169" t="s">
        <v>129</v>
      </c>
      <c r="I174" s="170">
        <f>ROUNDUP(G174*8,0)</f>
        <v>40</v>
      </c>
      <c r="J174" s="171">
        <v>26</v>
      </c>
      <c r="K174" s="171">
        <f t="shared" si="12"/>
        <v>130</v>
      </c>
      <c r="L174" s="169" t="s">
        <v>181</v>
      </c>
      <c r="M174" s="170">
        <f>0.9*2.1*G174</f>
        <v>9.450000000000001</v>
      </c>
      <c r="N174" s="171">
        <v>383.705</v>
      </c>
      <c r="O174" s="171">
        <f t="shared" si="13"/>
        <v>3626.01225</v>
      </c>
      <c r="P174" s="182"/>
      <c r="Q174" s="170"/>
      <c r="R174" s="183">
        <v>0</v>
      </c>
      <c r="S174" s="184">
        <f t="shared" si="14"/>
        <v>0</v>
      </c>
      <c r="T174" s="185">
        <f>(SUM(K174:K178,O174:O178,S174:S178)/G174)*1.02</f>
        <v>836.4776072916002</v>
      </c>
      <c r="U174" s="134">
        <f t="shared" si="11"/>
        <v>4182.388036458001</v>
      </c>
    </row>
    <row r="175" spans="1:21" ht="15.75">
      <c r="A175" s="203"/>
      <c r="B175" s="204"/>
      <c r="C175" s="204"/>
      <c r="D175" s="205"/>
      <c r="E175" s="187"/>
      <c r="F175" s="200"/>
      <c r="G175" s="181"/>
      <c r="H175" s="169" t="s">
        <v>142</v>
      </c>
      <c r="I175" s="170">
        <f>ROUNDUP(G174*4,0)</f>
        <v>20</v>
      </c>
      <c r="J175" s="171">
        <v>52</v>
      </c>
      <c r="K175" s="171">
        <f t="shared" si="12"/>
        <v>130</v>
      </c>
      <c r="L175" s="169" t="s">
        <v>165</v>
      </c>
      <c r="M175" s="170">
        <f>6*G174</f>
        <v>30</v>
      </c>
      <c r="N175" s="171">
        <v>0.1</v>
      </c>
      <c r="O175" s="171">
        <f t="shared" si="13"/>
        <v>3</v>
      </c>
      <c r="P175" s="182"/>
      <c r="Q175" s="170"/>
      <c r="R175" s="183">
        <v>0</v>
      </c>
      <c r="S175" s="184">
        <f t="shared" si="14"/>
        <v>0</v>
      </c>
      <c r="T175" s="185"/>
      <c r="U175" s="134">
        <f t="shared" si="11"/>
        <v>0</v>
      </c>
    </row>
    <row r="176" spans="1:21" ht="15.75">
      <c r="A176" s="203"/>
      <c r="B176" s="204"/>
      <c r="C176" s="204"/>
      <c r="D176" s="205"/>
      <c r="E176" s="187"/>
      <c r="F176" s="200"/>
      <c r="G176" s="181"/>
      <c r="H176" s="169" t="s">
        <v>144</v>
      </c>
      <c r="I176" s="170">
        <f>ROUNDUP(G174*4,0)</f>
        <v>20</v>
      </c>
      <c r="J176" s="171">
        <v>39</v>
      </c>
      <c r="K176" s="171">
        <f t="shared" si="12"/>
        <v>97.5</v>
      </c>
      <c r="L176" s="169" t="s">
        <v>166</v>
      </c>
      <c r="M176" s="170">
        <f>6*G174</f>
        <v>30</v>
      </c>
      <c r="N176" s="171">
        <v>0.1</v>
      </c>
      <c r="O176" s="171">
        <f t="shared" si="13"/>
        <v>3</v>
      </c>
      <c r="P176" s="182"/>
      <c r="Q176" s="170"/>
      <c r="R176" s="183">
        <v>0</v>
      </c>
      <c r="S176" s="184">
        <f t="shared" si="14"/>
        <v>0</v>
      </c>
      <c r="T176" s="188"/>
      <c r="U176" s="134">
        <f t="shared" si="11"/>
        <v>0</v>
      </c>
    </row>
    <row r="177" spans="1:21" ht="15.75">
      <c r="A177" s="203"/>
      <c r="B177" s="204"/>
      <c r="C177" s="204"/>
      <c r="D177" s="205"/>
      <c r="E177" s="187"/>
      <c r="F177" s="200"/>
      <c r="G177" s="181"/>
      <c r="H177" s="169" t="s">
        <v>179</v>
      </c>
      <c r="I177" s="170">
        <f>ROUNDUP(G174*4,0)</f>
        <v>20</v>
      </c>
      <c r="J177" s="171">
        <v>39</v>
      </c>
      <c r="K177" s="171">
        <f t="shared" si="12"/>
        <v>97.5</v>
      </c>
      <c r="L177" s="169" t="s">
        <v>169</v>
      </c>
      <c r="M177" s="170">
        <f>0.01*M174</f>
        <v>0.09450000000000001</v>
      </c>
      <c r="N177" s="171">
        <v>59.451100000000004</v>
      </c>
      <c r="O177" s="171">
        <f t="shared" si="13"/>
        <v>5.618128950000001</v>
      </c>
      <c r="P177" s="182"/>
      <c r="Q177" s="170"/>
      <c r="R177" s="183">
        <v>0</v>
      </c>
      <c r="S177" s="184">
        <f t="shared" si="14"/>
        <v>0</v>
      </c>
      <c r="T177" s="185"/>
      <c r="U177" s="134">
        <f t="shared" si="11"/>
        <v>0</v>
      </c>
    </row>
    <row r="178" spans="1:21" ht="15.75">
      <c r="A178" s="203"/>
      <c r="B178" s="204"/>
      <c r="C178" s="204"/>
      <c r="D178" s="205"/>
      <c r="E178" s="187"/>
      <c r="F178" s="200"/>
      <c r="G178" s="181"/>
      <c r="H178" s="169"/>
      <c r="I178" s="170"/>
      <c r="J178" s="171">
        <v>0</v>
      </c>
      <c r="K178" s="171">
        <f t="shared" si="12"/>
        <v>0</v>
      </c>
      <c r="L178" s="169" t="s">
        <v>170</v>
      </c>
      <c r="M178" s="170">
        <f>0.01*M174</f>
        <v>0.09450000000000001</v>
      </c>
      <c r="N178" s="171">
        <v>82.0111</v>
      </c>
      <c r="O178" s="171">
        <f t="shared" si="13"/>
        <v>7.750048950000001</v>
      </c>
      <c r="P178" s="182"/>
      <c r="Q178" s="170"/>
      <c r="R178" s="183">
        <v>0</v>
      </c>
      <c r="S178" s="184">
        <f t="shared" si="14"/>
        <v>0</v>
      </c>
      <c r="T178" s="188"/>
      <c r="U178" s="134">
        <f t="shared" si="11"/>
        <v>0</v>
      </c>
    </row>
    <row r="179" spans="1:22" s="109" customFormat="1" ht="15.75">
      <c r="A179" s="203" t="s">
        <v>18</v>
      </c>
      <c r="B179" s="204">
        <v>5</v>
      </c>
      <c r="C179" s="204">
        <v>1</v>
      </c>
      <c r="D179" s="205">
        <v>2</v>
      </c>
      <c r="E179" s="187" t="s">
        <v>76</v>
      </c>
      <c r="F179" s="200" t="s">
        <v>73</v>
      </c>
      <c r="G179" s="181">
        <v>5</v>
      </c>
      <c r="H179" s="169" t="s">
        <v>129</v>
      </c>
      <c r="I179" s="170">
        <f>ROUNDUP(G179*8,0)</f>
        <v>40</v>
      </c>
      <c r="J179" s="171">
        <v>26</v>
      </c>
      <c r="K179" s="171">
        <f t="shared" si="12"/>
        <v>130</v>
      </c>
      <c r="L179" s="169" t="s">
        <v>181</v>
      </c>
      <c r="M179" s="170">
        <f>0.7*2.1</f>
        <v>1.47</v>
      </c>
      <c r="N179" s="171">
        <v>383.705</v>
      </c>
      <c r="O179" s="171">
        <f t="shared" si="13"/>
        <v>564.04635</v>
      </c>
      <c r="P179" s="182"/>
      <c r="Q179" s="170"/>
      <c r="R179" s="183">
        <v>0</v>
      </c>
      <c r="S179" s="184">
        <f t="shared" si="14"/>
        <v>0</v>
      </c>
      <c r="T179" s="185">
        <f>(SUM(K179:K183,O179:O183,S179:S183)/G179)*1.02</f>
        <v>209.53367224536004</v>
      </c>
      <c r="U179" s="134">
        <f t="shared" si="11"/>
        <v>1047.6683612268002</v>
      </c>
      <c r="V179" s="93"/>
    </row>
    <row r="180" spans="1:22" s="109" customFormat="1" ht="15.75">
      <c r="A180" s="203"/>
      <c r="B180" s="204"/>
      <c r="C180" s="204"/>
      <c r="D180" s="205"/>
      <c r="E180" s="187"/>
      <c r="F180" s="200"/>
      <c r="G180" s="181"/>
      <c r="H180" s="169" t="s">
        <v>142</v>
      </c>
      <c r="I180" s="170">
        <f>ROUNDUP(G179*4,0)</f>
        <v>20</v>
      </c>
      <c r="J180" s="171">
        <v>52</v>
      </c>
      <c r="K180" s="171">
        <f t="shared" si="12"/>
        <v>130</v>
      </c>
      <c r="L180" s="169" t="s">
        <v>165</v>
      </c>
      <c r="M180" s="170">
        <f>6*G179</f>
        <v>30</v>
      </c>
      <c r="N180" s="171">
        <v>0.1</v>
      </c>
      <c r="O180" s="171">
        <f t="shared" si="13"/>
        <v>3</v>
      </c>
      <c r="P180" s="182"/>
      <c r="Q180" s="170"/>
      <c r="R180" s="183">
        <v>0</v>
      </c>
      <c r="S180" s="184">
        <f t="shared" si="14"/>
        <v>0</v>
      </c>
      <c r="T180" s="185"/>
      <c r="U180" s="134">
        <f t="shared" si="11"/>
        <v>0</v>
      </c>
      <c r="V180" s="93"/>
    </row>
    <row r="181" spans="1:22" s="109" customFormat="1" ht="15.75">
      <c r="A181" s="203"/>
      <c r="B181" s="204"/>
      <c r="C181" s="204"/>
      <c r="D181" s="205"/>
      <c r="E181" s="187"/>
      <c r="F181" s="200"/>
      <c r="G181" s="181"/>
      <c r="H181" s="169" t="s">
        <v>144</v>
      </c>
      <c r="I181" s="170">
        <f>ROUNDUP(G179*4,0)</f>
        <v>20</v>
      </c>
      <c r="J181" s="171">
        <v>39</v>
      </c>
      <c r="K181" s="171">
        <f t="shared" si="12"/>
        <v>97.5</v>
      </c>
      <c r="L181" s="169" t="s">
        <v>166</v>
      </c>
      <c r="M181" s="170">
        <f>6*G179</f>
        <v>30</v>
      </c>
      <c r="N181" s="171">
        <v>0.1</v>
      </c>
      <c r="O181" s="171">
        <f t="shared" si="13"/>
        <v>3</v>
      </c>
      <c r="P181" s="182"/>
      <c r="Q181" s="170"/>
      <c r="R181" s="183">
        <v>0</v>
      </c>
      <c r="S181" s="184">
        <f t="shared" si="14"/>
        <v>0</v>
      </c>
      <c r="T181" s="206"/>
      <c r="U181" s="134">
        <f t="shared" si="11"/>
        <v>0</v>
      </c>
      <c r="V181" s="93"/>
    </row>
    <row r="182" spans="1:22" s="109" customFormat="1" ht="15.75">
      <c r="A182" s="203"/>
      <c r="B182" s="204"/>
      <c r="C182" s="204"/>
      <c r="D182" s="205"/>
      <c r="E182" s="187"/>
      <c r="F182" s="200"/>
      <c r="G182" s="181"/>
      <c r="H182" s="169" t="s">
        <v>179</v>
      </c>
      <c r="I182" s="170">
        <f>ROUNDUP(G179*4,0)</f>
        <v>20</v>
      </c>
      <c r="J182" s="171">
        <v>39</v>
      </c>
      <c r="K182" s="171">
        <f t="shared" si="12"/>
        <v>97.5</v>
      </c>
      <c r="L182" s="169" t="s">
        <v>169</v>
      </c>
      <c r="M182" s="170">
        <f>0.01*M179</f>
        <v>0.0147</v>
      </c>
      <c r="N182" s="171">
        <v>59.451100000000004</v>
      </c>
      <c r="O182" s="171">
        <f t="shared" si="13"/>
        <v>0.87393117</v>
      </c>
      <c r="P182" s="182"/>
      <c r="Q182" s="170"/>
      <c r="R182" s="183">
        <v>0</v>
      </c>
      <c r="S182" s="184">
        <f t="shared" si="14"/>
        <v>0</v>
      </c>
      <c r="T182" s="185"/>
      <c r="U182" s="134">
        <f t="shared" si="11"/>
        <v>0</v>
      </c>
      <c r="V182" s="93"/>
    </row>
    <row r="183" spans="1:22" s="109" customFormat="1" ht="15.75">
      <c r="A183" s="203"/>
      <c r="B183" s="204"/>
      <c r="C183" s="204"/>
      <c r="D183" s="205"/>
      <c r="E183" s="187"/>
      <c r="F183" s="200"/>
      <c r="G183" s="181"/>
      <c r="H183" s="169"/>
      <c r="I183" s="170"/>
      <c r="J183" s="171">
        <v>0</v>
      </c>
      <c r="K183" s="171">
        <f t="shared" si="12"/>
        <v>0</v>
      </c>
      <c r="L183" s="169" t="s">
        <v>170</v>
      </c>
      <c r="M183" s="170">
        <f>0.01*M179</f>
        <v>0.0147</v>
      </c>
      <c r="N183" s="171">
        <v>82.0111</v>
      </c>
      <c r="O183" s="171">
        <f t="shared" si="13"/>
        <v>1.20556317</v>
      </c>
      <c r="P183" s="182"/>
      <c r="Q183" s="170"/>
      <c r="R183" s="183">
        <v>0</v>
      </c>
      <c r="S183" s="184">
        <f t="shared" si="14"/>
        <v>0</v>
      </c>
      <c r="T183" s="176"/>
      <c r="U183" s="134">
        <f t="shared" si="11"/>
        <v>0</v>
      </c>
      <c r="V183" s="93"/>
    </row>
    <row r="184" spans="1:21" ht="15.75">
      <c r="A184" s="197" t="s">
        <v>18</v>
      </c>
      <c r="B184" s="198">
        <v>5</v>
      </c>
      <c r="C184" s="198">
        <v>2</v>
      </c>
      <c r="D184" s="201"/>
      <c r="E184" s="186" t="s">
        <v>77</v>
      </c>
      <c r="F184" s="202"/>
      <c r="G184" s="181">
        <v>0</v>
      </c>
      <c r="H184" s="169"/>
      <c r="I184" s="170"/>
      <c r="J184" s="171">
        <v>0</v>
      </c>
      <c r="K184" s="171">
        <f t="shared" si="12"/>
        <v>0</v>
      </c>
      <c r="L184" s="169"/>
      <c r="M184" s="170"/>
      <c r="N184" s="171">
        <v>0</v>
      </c>
      <c r="O184" s="171">
        <f t="shared" si="13"/>
        <v>0</v>
      </c>
      <c r="P184" s="182"/>
      <c r="Q184" s="170"/>
      <c r="R184" s="183">
        <v>0</v>
      </c>
      <c r="S184" s="184">
        <f t="shared" si="14"/>
        <v>0</v>
      </c>
      <c r="T184" s="176"/>
      <c r="U184" s="134">
        <f t="shared" si="11"/>
        <v>0</v>
      </c>
    </row>
    <row r="185" spans="1:21" ht="15.75">
      <c r="A185" s="203" t="s">
        <v>18</v>
      </c>
      <c r="B185" s="204">
        <v>5</v>
      </c>
      <c r="C185" s="204">
        <v>2</v>
      </c>
      <c r="D185" s="205">
        <v>1</v>
      </c>
      <c r="E185" s="187" t="s">
        <v>78</v>
      </c>
      <c r="F185" s="200" t="s">
        <v>73</v>
      </c>
      <c r="G185" s="181">
        <v>5</v>
      </c>
      <c r="H185" s="169" t="s">
        <v>129</v>
      </c>
      <c r="I185" s="170">
        <f>ROUNDUP(G185*8,0)</f>
        <v>40</v>
      </c>
      <c r="J185" s="171">
        <v>26</v>
      </c>
      <c r="K185" s="171">
        <f t="shared" si="12"/>
        <v>130</v>
      </c>
      <c r="L185" s="169" t="s">
        <v>182</v>
      </c>
      <c r="M185" s="170">
        <f>1.5*1.2</f>
        <v>1.7999999999999998</v>
      </c>
      <c r="N185" s="171">
        <v>353.705</v>
      </c>
      <c r="O185" s="171">
        <f t="shared" si="13"/>
        <v>636.6689999999999</v>
      </c>
      <c r="P185" s="182"/>
      <c r="Q185" s="170"/>
      <c r="R185" s="183">
        <v>0</v>
      </c>
      <c r="S185" s="184">
        <f t="shared" si="14"/>
        <v>0</v>
      </c>
      <c r="T185" s="185">
        <f>(SUM(K185:K189,O185:O189,S185:S189)/G185)*1.02</f>
        <v>224.44392519839997</v>
      </c>
      <c r="U185" s="134">
        <f t="shared" si="11"/>
        <v>1122.219625992</v>
      </c>
    </row>
    <row r="186" spans="1:21" ht="15.75">
      <c r="A186" s="203"/>
      <c r="B186" s="204"/>
      <c r="C186" s="204"/>
      <c r="D186" s="205"/>
      <c r="E186" s="187"/>
      <c r="F186" s="200"/>
      <c r="G186" s="181"/>
      <c r="H186" s="169" t="s">
        <v>142</v>
      </c>
      <c r="I186" s="170">
        <f>ROUNDUP(G185*4,0)</f>
        <v>20</v>
      </c>
      <c r="J186" s="171">
        <v>52</v>
      </c>
      <c r="K186" s="171">
        <f t="shared" si="12"/>
        <v>130</v>
      </c>
      <c r="L186" s="169" t="s">
        <v>165</v>
      </c>
      <c r="M186" s="170">
        <f>6*G185</f>
        <v>30</v>
      </c>
      <c r="N186" s="171">
        <v>0.1</v>
      </c>
      <c r="O186" s="171">
        <f t="shared" si="13"/>
        <v>3</v>
      </c>
      <c r="P186" s="182"/>
      <c r="Q186" s="170"/>
      <c r="R186" s="183">
        <v>0</v>
      </c>
      <c r="S186" s="184">
        <f t="shared" si="14"/>
        <v>0</v>
      </c>
      <c r="T186" s="176"/>
      <c r="U186" s="134">
        <f t="shared" si="11"/>
        <v>0</v>
      </c>
    </row>
    <row r="187" spans="1:21" ht="15.75">
      <c r="A187" s="203"/>
      <c r="B187" s="204"/>
      <c r="C187" s="204"/>
      <c r="D187" s="205"/>
      <c r="E187" s="187"/>
      <c r="F187" s="200"/>
      <c r="G187" s="181"/>
      <c r="H187" s="169" t="s">
        <v>144</v>
      </c>
      <c r="I187" s="170">
        <f>ROUNDUP(G185*4,0)</f>
        <v>20</v>
      </c>
      <c r="J187" s="171">
        <v>39</v>
      </c>
      <c r="K187" s="171">
        <f t="shared" si="12"/>
        <v>97.5</v>
      </c>
      <c r="L187" s="169" t="s">
        <v>166</v>
      </c>
      <c r="M187" s="170">
        <f>6*G185</f>
        <v>30</v>
      </c>
      <c r="N187" s="171">
        <v>0.1</v>
      </c>
      <c r="O187" s="171">
        <f t="shared" si="13"/>
        <v>3</v>
      </c>
      <c r="P187" s="182"/>
      <c r="Q187" s="170"/>
      <c r="R187" s="183">
        <v>0</v>
      </c>
      <c r="S187" s="184">
        <f t="shared" si="14"/>
        <v>0</v>
      </c>
      <c r="T187" s="188"/>
      <c r="U187" s="134">
        <f t="shared" si="11"/>
        <v>0</v>
      </c>
    </row>
    <row r="188" spans="1:21" ht="15.75">
      <c r="A188" s="203"/>
      <c r="B188" s="204"/>
      <c r="C188" s="204"/>
      <c r="D188" s="205"/>
      <c r="E188" s="187"/>
      <c r="F188" s="200"/>
      <c r="G188" s="181"/>
      <c r="H188" s="169" t="s">
        <v>179</v>
      </c>
      <c r="I188" s="170">
        <f>ROUNDUP(G185*4,0)</f>
        <v>20</v>
      </c>
      <c r="J188" s="171">
        <v>39</v>
      </c>
      <c r="K188" s="171">
        <f t="shared" si="12"/>
        <v>97.5</v>
      </c>
      <c r="L188" s="169" t="s">
        <v>169</v>
      </c>
      <c r="M188" s="170">
        <f>0.01*M185</f>
        <v>0.018</v>
      </c>
      <c r="N188" s="171">
        <v>59.451100000000004</v>
      </c>
      <c r="O188" s="171">
        <f t="shared" si="13"/>
        <v>1.0701198</v>
      </c>
      <c r="P188" s="182"/>
      <c r="Q188" s="170"/>
      <c r="R188" s="183">
        <v>0</v>
      </c>
      <c r="S188" s="184">
        <f t="shared" si="14"/>
        <v>0</v>
      </c>
      <c r="T188" s="185"/>
      <c r="U188" s="134">
        <f t="shared" si="11"/>
        <v>0</v>
      </c>
    </row>
    <row r="189" spans="1:21" ht="15.75">
      <c r="A189" s="203"/>
      <c r="B189" s="204"/>
      <c r="C189" s="204"/>
      <c r="D189" s="205"/>
      <c r="E189" s="187"/>
      <c r="F189" s="200"/>
      <c r="G189" s="181"/>
      <c r="H189" s="169"/>
      <c r="I189" s="170"/>
      <c r="J189" s="171">
        <v>0</v>
      </c>
      <c r="K189" s="171">
        <f t="shared" si="12"/>
        <v>0</v>
      </c>
      <c r="L189" s="169" t="s">
        <v>170</v>
      </c>
      <c r="M189" s="170">
        <f>0.01*M185</f>
        <v>0.018</v>
      </c>
      <c r="N189" s="171">
        <v>82.0111</v>
      </c>
      <c r="O189" s="171">
        <f t="shared" si="13"/>
        <v>1.4761997999999998</v>
      </c>
      <c r="P189" s="182"/>
      <c r="Q189" s="170"/>
      <c r="R189" s="183">
        <v>0</v>
      </c>
      <c r="S189" s="184">
        <f t="shared" si="14"/>
        <v>0</v>
      </c>
      <c r="T189" s="188"/>
      <c r="U189" s="134">
        <f t="shared" si="11"/>
        <v>0</v>
      </c>
    </row>
    <row r="190" spans="1:21" ht="15.75">
      <c r="A190" s="203" t="s">
        <v>18</v>
      </c>
      <c r="B190" s="204">
        <v>5</v>
      </c>
      <c r="C190" s="204">
        <v>2</v>
      </c>
      <c r="D190" s="205">
        <v>2</v>
      </c>
      <c r="E190" s="187" t="s">
        <v>79</v>
      </c>
      <c r="F190" s="200" t="s">
        <v>73</v>
      </c>
      <c r="G190" s="181">
        <v>5</v>
      </c>
      <c r="H190" s="169" t="s">
        <v>129</v>
      </c>
      <c r="I190" s="170">
        <f>ROUNDUP(G190*8,0)</f>
        <v>40</v>
      </c>
      <c r="J190" s="171">
        <v>26</v>
      </c>
      <c r="K190" s="171">
        <f t="shared" si="12"/>
        <v>130</v>
      </c>
      <c r="L190" s="169" t="s">
        <v>182</v>
      </c>
      <c r="M190" s="170">
        <f>1.45*1.2</f>
        <v>1.74</v>
      </c>
      <c r="N190" s="171">
        <v>353.705</v>
      </c>
      <c r="O190" s="171">
        <f t="shared" si="13"/>
        <v>615.4467</v>
      </c>
      <c r="P190" s="182"/>
      <c r="Q190" s="170"/>
      <c r="R190" s="183">
        <v>0</v>
      </c>
      <c r="S190" s="184">
        <f t="shared" si="14"/>
        <v>0</v>
      </c>
      <c r="T190" s="185">
        <f>(SUM(K190:K194,O190:O194,S190:S194)/G190)*1.02</f>
        <v>220.09726102512</v>
      </c>
      <c r="U190" s="134">
        <f t="shared" si="11"/>
        <v>1100.4863051256</v>
      </c>
    </row>
    <row r="191" spans="1:21" ht="15.75">
      <c r="A191" s="203"/>
      <c r="B191" s="204"/>
      <c r="C191" s="204"/>
      <c r="D191" s="205"/>
      <c r="E191" s="187"/>
      <c r="F191" s="200"/>
      <c r="G191" s="181"/>
      <c r="H191" s="169" t="s">
        <v>142</v>
      </c>
      <c r="I191" s="170">
        <f>ROUNDUP(G190*4,0)</f>
        <v>20</v>
      </c>
      <c r="J191" s="171">
        <v>52</v>
      </c>
      <c r="K191" s="171">
        <f t="shared" si="12"/>
        <v>130</v>
      </c>
      <c r="L191" s="169" t="s">
        <v>165</v>
      </c>
      <c r="M191" s="170">
        <f>6*G190</f>
        <v>30</v>
      </c>
      <c r="N191" s="171">
        <v>0.1</v>
      </c>
      <c r="O191" s="171">
        <f t="shared" si="13"/>
        <v>3</v>
      </c>
      <c r="P191" s="182"/>
      <c r="Q191" s="170"/>
      <c r="R191" s="183">
        <v>0</v>
      </c>
      <c r="S191" s="184">
        <f t="shared" si="14"/>
        <v>0</v>
      </c>
      <c r="T191" s="185"/>
      <c r="U191" s="134">
        <f t="shared" si="11"/>
        <v>0</v>
      </c>
    </row>
    <row r="192" spans="1:21" ht="15.75">
      <c r="A192" s="203"/>
      <c r="B192" s="204"/>
      <c r="C192" s="204"/>
      <c r="D192" s="205"/>
      <c r="E192" s="187"/>
      <c r="F192" s="200"/>
      <c r="G192" s="181"/>
      <c r="H192" s="169" t="s">
        <v>144</v>
      </c>
      <c r="I192" s="170">
        <f>ROUNDUP(G190*4,0)</f>
        <v>20</v>
      </c>
      <c r="J192" s="171">
        <v>39</v>
      </c>
      <c r="K192" s="171">
        <f t="shared" si="12"/>
        <v>97.5</v>
      </c>
      <c r="L192" s="169" t="s">
        <v>166</v>
      </c>
      <c r="M192" s="170">
        <f>6*G190</f>
        <v>30</v>
      </c>
      <c r="N192" s="171">
        <v>0.1</v>
      </c>
      <c r="O192" s="171">
        <f t="shared" si="13"/>
        <v>3</v>
      </c>
      <c r="P192" s="182"/>
      <c r="Q192" s="170"/>
      <c r="R192" s="183">
        <v>0</v>
      </c>
      <c r="S192" s="184">
        <f t="shared" si="14"/>
        <v>0</v>
      </c>
      <c r="T192" s="188"/>
      <c r="U192" s="134">
        <f t="shared" si="11"/>
        <v>0</v>
      </c>
    </row>
    <row r="193" spans="1:21" ht="15.75">
      <c r="A193" s="203"/>
      <c r="B193" s="204"/>
      <c r="C193" s="204"/>
      <c r="D193" s="205"/>
      <c r="E193" s="187"/>
      <c r="F193" s="200"/>
      <c r="G193" s="181"/>
      <c r="H193" s="169" t="s">
        <v>179</v>
      </c>
      <c r="I193" s="170">
        <f>ROUNDUP(G190*4,0)</f>
        <v>20</v>
      </c>
      <c r="J193" s="171">
        <v>39</v>
      </c>
      <c r="K193" s="171">
        <f t="shared" si="12"/>
        <v>97.5</v>
      </c>
      <c r="L193" s="169" t="s">
        <v>169</v>
      </c>
      <c r="M193" s="170">
        <f>0.01*M190</f>
        <v>0.0174</v>
      </c>
      <c r="N193" s="171">
        <v>59.451100000000004</v>
      </c>
      <c r="O193" s="171">
        <f t="shared" si="13"/>
        <v>1.03444914</v>
      </c>
      <c r="P193" s="182"/>
      <c r="Q193" s="170"/>
      <c r="R193" s="183">
        <v>0</v>
      </c>
      <c r="S193" s="184">
        <f t="shared" si="14"/>
        <v>0</v>
      </c>
      <c r="T193" s="185"/>
      <c r="U193" s="134">
        <f t="shared" si="11"/>
        <v>0</v>
      </c>
    </row>
    <row r="194" spans="1:21" ht="15.75">
      <c r="A194" s="203"/>
      <c r="B194" s="204"/>
      <c r="C194" s="204"/>
      <c r="D194" s="205"/>
      <c r="E194" s="187"/>
      <c r="F194" s="200"/>
      <c r="G194" s="181"/>
      <c r="H194" s="169"/>
      <c r="I194" s="170"/>
      <c r="J194" s="171">
        <v>0</v>
      </c>
      <c r="K194" s="171">
        <f t="shared" si="12"/>
        <v>0</v>
      </c>
      <c r="L194" s="169" t="s">
        <v>170</v>
      </c>
      <c r="M194" s="170">
        <f>0.01*M190</f>
        <v>0.0174</v>
      </c>
      <c r="N194" s="171">
        <v>82.0111</v>
      </c>
      <c r="O194" s="171">
        <f t="shared" si="13"/>
        <v>1.42699314</v>
      </c>
      <c r="P194" s="182"/>
      <c r="Q194" s="170"/>
      <c r="R194" s="183">
        <v>0</v>
      </c>
      <c r="S194" s="184">
        <f t="shared" si="14"/>
        <v>0</v>
      </c>
      <c r="T194" s="188"/>
      <c r="U194" s="134">
        <f t="shared" si="11"/>
        <v>0</v>
      </c>
    </row>
    <row r="195" spans="1:21" ht="15.75">
      <c r="A195" s="197" t="s">
        <v>18</v>
      </c>
      <c r="B195" s="198">
        <v>5</v>
      </c>
      <c r="C195" s="198"/>
      <c r="D195" s="201"/>
      <c r="E195" s="189" t="s">
        <v>37</v>
      </c>
      <c r="F195" s="202"/>
      <c r="G195" s="181">
        <v>0</v>
      </c>
      <c r="H195" s="169"/>
      <c r="I195" s="170"/>
      <c r="J195" s="171">
        <v>0</v>
      </c>
      <c r="K195" s="171">
        <f t="shared" si="12"/>
        <v>0</v>
      </c>
      <c r="L195" s="169"/>
      <c r="M195" s="170"/>
      <c r="N195" s="171">
        <v>0</v>
      </c>
      <c r="O195" s="171">
        <f t="shared" si="13"/>
        <v>0</v>
      </c>
      <c r="P195" s="172"/>
      <c r="Q195" s="173"/>
      <c r="R195" s="183">
        <v>0</v>
      </c>
      <c r="S195" s="184">
        <f t="shared" si="14"/>
        <v>0</v>
      </c>
      <c r="T195" s="185"/>
      <c r="U195" s="134">
        <f t="shared" si="11"/>
        <v>0</v>
      </c>
    </row>
    <row r="196" spans="1:21" ht="15.75">
      <c r="A196" s="197" t="s">
        <v>18</v>
      </c>
      <c r="B196" s="198">
        <v>6</v>
      </c>
      <c r="C196" s="198"/>
      <c r="D196" s="201"/>
      <c r="E196" s="186" t="s">
        <v>80</v>
      </c>
      <c r="F196" s="202"/>
      <c r="G196" s="181">
        <v>0</v>
      </c>
      <c r="H196" s="169"/>
      <c r="I196" s="170"/>
      <c r="J196" s="171">
        <v>0</v>
      </c>
      <c r="K196" s="171">
        <f t="shared" si="12"/>
        <v>0</v>
      </c>
      <c r="L196" s="169"/>
      <c r="M196" s="170"/>
      <c r="N196" s="171">
        <v>0</v>
      </c>
      <c r="O196" s="171">
        <f t="shared" si="13"/>
        <v>0</v>
      </c>
      <c r="P196" s="182"/>
      <c r="Q196" s="170"/>
      <c r="R196" s="183">
        <v>0</v>
      </c>
      <c r="S196" s="184">
        <f t="shared" si="14"/>
        <v>0</v>
      </c>
      <c r="T196" s="185"/>
      <c r="U196" s="134">
        <f t="shared" si="11"/>
        <v>0</v>
      </c>
    </row>
    <row r="197" spans="1:21" ht="27.75">
      <c r="A197" s="203" t="s">
        <v>18</v>
      </c>
      <c r="B197" s="204">
        <v>6</v>
      </c>
      <c r="C197" s="204">
        <v>1</v>
      </c>
      <c r="D197" s="205"/>
      <c r="E197" s="187" t="s">
        <v>462</v>
      </c>
      <c r="F197" s="200"/>
      <c r="G197" s="181">
        <v>0</v>
      </c>
      <c r="H197" s="169"/>
      <c r="I197" s="170"/>
      <c r="J197" s="171">
        <v>0</v>
      </c>
      <c r="K197" s="171">
        <f t="shared" si="12"/>
        <v>0</v>
      </c>
      <c r="L197" s="169"/>
      <c r="M197" s="170"/>
      <c r="N197" s="171">
        <v>0</v>
      </c>
      <c r="O197" s="171">
        <f t="shared" si="13"/>
        <v>0</v>
      </c>
      <c r="P197" s="182"/>
      <c r="Q197" s="170"/>
      <c r="R197" s="183">
        <v>0</v>
      </c>
      <c r="S197" s="184">
        <f t="shared" si="14"/>
        <v>0</v>
      </c>
      <c r="T197" s="188"/>
      <c r="U197" s="134">
        <f t="shared" si="11"/>
        <v>0</v>
      </c>
    </row>
    <row r="198" spans="1:21" ht="15.75">
      <c r="A198" s="203" t="s">
        <v>18</v>
      </c>
      <c r="B198" s="204">
        <v>6</v>
      </c>
      <c r="C198" s="204">
        <v>1</v>
      </c>
      <c r="D198" s="205">
        <v>1</v>
      </c>
      <c r="E198" s="187" t="s">
        <v>81</v>
      </c>
      <c r="F198" s="200" t="s">
        <v>35</v>
      </c>
      <c r="G198" s="181">
        <v>324.03</v>
      </c>
      <c r="H198" s="169" t="s">
        <v>129</v>
      </c>
      <c r="I198" s="170">
        <f>ROUNDUP(G198*1.6,0)</f>
        <v>519</v>
      </c>
      <c r="J198" s="171">
        <v>26</v>
      </c>
      <c r="K198" s="171">
        <f t="shared" si="12"/>
        <v>1686.75</v>
      </c>
      <c r="L198" s="169" t="s">
        <v>136</v>
      </c>
      <c r="M198" s="170">
        <f>G198*0.06</f>
        <v>19.441799999999997</v>
      </c>
      <c r="N198" s="171">
        <v>174.77097826086958</v>
      </c>
      <c r="O198" s="171">
        <f t="shared" si="13"/>
        <v>3397.862405152174</v>
      </c>
      <c r="P198" s="182" t="s">
        <v>137</v>
      </c>
      <c r="Q198" s="170">
        <f>0.08*G198</f>
        <v>25.9224</v>
      </c>
      <c r="R198" s="183">
        <v>30</v>
      </c>
      <c r="S198" s="184">
        <f t="shared" si="14"/>
        <v>777.672</v>
      </c>
      <c r="T198" s="185">
        <f>(SUM(K198:K200,O198:O200,S198:S200)/G198)*1.02</f>
        <v>24.77584066990593</v>
      </c>
      <c r="U198" s="134">
        <f t="shared" si="11"/>
        <v>8028.115652269617</v>
      </c>
    </row>
    <row r="199" spans="1:21" ht="15.75">
      <c r="A199" s="203"/>
      <c r="B199" s="204"/>
      <c r="C199" s="204"/>
      <c r="D199" s="205"/>
      <c r="E199" s="187"/>
      <c r="F199" s="200"/>
      <c r="G199" s="181"/>
      <c r="H199" s="169" t="s">
        <v>183</v>
      </c>
      <c r="I199" s="170">
        <f>ROUNDUP(G198*0.8,0)</f>
        <v>260</v>
      </c>
      <c r="J199" s="171">
        <v>45.5</v>
      </c>
      <c r="K199" s="171">
        <f t="shared" si="12"/>
        <v>1478.75</v>
      </c>
      <c r="L199" s="169" t="s">
        <v>139</v>
      </c>
      <c r="M199" s="170">
        <f>G198*0.02</f>
        <v>6.4806</v>
      </c>
      <c r="N199" s="171">
        <v>80</v>
      </c>
      <c r="O199" s="171">
        <f t="shared" si="13"/>
        <v>518.448</v>
      </c>
      <c r="P199" s="182"/>
      <c r="Q199" s="170"/>
      <c r="R199" s="183">
        <v>0</v>
      </c>
      <c r="S199" s="184">
        <f t="shared" si="14"/>
        <v>0</v>
      </c>
      <c r="T199" s="176"/>
      <c r="U199" s="134">
        <f t="shared" si="11"/>
        <v>0</v>
      </c>
    </row>
    <row r="200" spans="1:21" ht="15.75">
      <c r="A200" s="203"/>
      <c r="B200" s="204"/>
      <c r="C200" s="204"/>
      <c r="D200" s="205"/>
      <c r="E200" s="187"/>
      <c r="F200" s="200"/>
      <c r="G200" s="181"/>
      <c r="H200" s="169"/>
      <c r="I200" s="170"/>
      <c r="J200" s="171">
        <v>0</v>
      </c>
      <c r="K200" s="171">
        <f t="shared" si="12"/>
        <v>0</v>
      </c>
      <c r="L200" s="169" t="s">
        <v>131</v>
      </c>
      <c r="M200" s="170">
        <f>Q198*0.08</f>
        <v>2.073792</v>
      </c>
      <c r="N200" s="171">
        <v>5.41</v>
      </c>
      <c r="O200" s="171">
        <f t="shared" si="13"/>
        <v>11.21921472</v>
      </c>
      <c r="P200" s="182"/>
      <c r="Q200" s="170"/>
      <c r="R200" s="183">
        <v>0</v>
      </c>
      <c r="S200" s="184">
        <f t="shared" si="14"/>
        <v>0</v>
      </c>
      <c r="T200" s="185"/>
      <c r="U200" s="134">
        <f t="shared" si="11"/>
        <v>0</v>
      </c>
    </row>
    <row r="201" spans="1:21" s="109" customFormat="1" ht="15.75">
      <c r="A201" s="203" t="s">
        <v>18</v>
      </c>
      <c r="B201" s="204">
        <v>6</v>
      </c>
      <c r="C201" s="204">
        <v>1</v>
      </c>
      <c r="D201" s="205">
        <v>2</v>
      </c>
      <c r="E201" s="187" t="s">
        <v>82</v>
      </c>
      <c r="F201" s="200" t="s">
        <v>35</v>
      </c>
      <c r="G201" s="181">
        <v>191.37</v>
      </c>
      <c r="H201" s="169" t="s">
        <v>129</v>
      </c>
      <c r="I201" s="170">
        <f>ROUNDUP(G201*1.6,0)</f>
        <v>307</v>
      </c>
      <c r="J201" s="171">
        <v>26</v>
      </c>
      <c r="K201" s="171">
        <f t="shared" si="12"/>
        <v>997.75</v>
      </c>
      <c r="L201" s="169" t="s">
        <v>136</v>
      </c>
      <c r="M201" s="170">
        <f>G201*0.06</f>
        <v>11.4822</v>
      </c>
      <c r="N201" s="171">
        <v>174.77097826086958</v>
      </c>
      <c r="O201" s="171">
        <f t="shared" si="13"/>
        <v>2006.755326586957</v>
      </c>
      <c r="P201" s="182" t="s">
        <v>137</v>
      </c>
      <c r="Q201" s="170">
        <f>0.08*G201</f>
        <v>15.309600000000001</v>
      </c>
      <c r="R201" s="183">
        <v>30</v>
      </c>
      <c r="S201" s="184">
        <f t="shared" si="14"/>
        <v>459.28800000000007</v>
      </c>
      <c r="T201" s="185">
        <f>(SUM(K201:K205,O201:O205,S201:S205)/G201)*1.02</f>
        <v>30.127522029509873</v>
      </c>
      <c r="U201" s="134">
        <f t="shared" si="11"/>
        <v>5765.503890787304</v>
      </c>
    </row>
    <row r="202" spans="1:21" s="109" customFormat="1" ht="15.75">
      <c r="A202" s="203"/>
      <c r="B202" s="204"/>
      <c r="C202" s="204"/>
      <c r="D202" s="205"/>
      <c r="E202" s="187"/>
      <c r="F202" s="200"/>
      <c r="G202" s="181"/>
      <c r="H202" s="169" t="s">
        <v>183</v>
      </c>
      <c r="I202" s="170">
        <f>ROUNDUP(G201*0.8,0)</f>
        <v>154</v>
      </c>
      <c r="J202" s="171">
        <v>45.5</v>
      </c>
      <c r="K202" s="171">
        <f t="shared" si="12"/>
        <v>875.875</v>
      </c>
      <c r="L202" s="169" t="s">
        <v>139</v>
      </c>
      <c r="M202" s="170">
        <f>G201*0.02</f>
        <v>3.8274000000000004</v>
      </c>
      <c r="N202" s="171">
        <v>80</v>
      </c>
      <c r="O202" s="171">
        <f t="shared" si="13"/>
        <v>306.192</v>
      </c>
      <c r="P202" s="182"/>
      <c r="Q202" s="170"/>
      <c r="R202" s="183">
        <v>0</v>
      </c>
      <c r="S202" s="184">
        <f t="shared" si="14"/>
        <v>0</v>
      </c>
      <c r="T202" s="206"/>
      <c r="U202" s="134">
        <f aca="true" t="shared" si="15" ref="U202:U265">T202*G202</f>
        <v>0</v>
      </c>
    </row>
    <row r="203" spans="1:21" s="109" customFormat="1" ht="15.75">
      <c r="A203" s="203"/>
      <c r="B203" s="204"/>
      <c r="C203" s="204"/>
      <c r="D203" s="205"/>
      <c r="E203" s="187"/>
      <c r="F203" s="200"/>
      <c r="G203" s="181"/>
      <c r="H203" s="169"/>
      <c r="I203" s="170"/>
      <c r="J203" s="171">
        <v>0</v>
      </c>
      <c r="K203" s="171">
        <f t="shared" si="12"/>
        <v>0</v>
      </c>
      <c r="L203" s="169" t="s">
        <v>131</v>
      </c>
      <c r="M203" s="170">
        <f>Q201*0.08</f>
        <v>1.224768</v>
      </c>
      <c r="N203" s="171">
        <v>5.41</v>
      </c>
      <c r="O203" s="171">
        <f t="shared" si="13"/>
        <v>6.62599488</v>
      </c>
      <c r="P203" s="182"/>
      <c r="Q203" s="170"/>
      <c r="R203" s="183">
        <v>0</v>
      </c>
      <c r="S203" s="184">
        <f t="shared" si="14"/>
        <v>0</v>
      </c>
      <c r="T203" s="185"/>
      <c r="U203" s="134">
        <f t="shared" si="15"/>
        <v>0</v>
      </c>
    </row>
    <row r="204" spans="1:21" s="109" customFormat="1" ht="15.75">
      <c r="A204" s="203"/>
      <c r="B204" s="204"/>
      <c r="C204" s="204"/>
      <c r="D204" s="205"/>
      <c r="E204" s="187"/>
      <c r="F204" s="200"/>
      <c r="G204" s="181"/>
      <c r="H204" s="169"/>
      <c r="I204" s="170"/>
      <c r="J204" s="171">
        <v>0</v>
      </c>
      <c r="K204" s="171">
        <f t="shared" si="12"/>
        <v>0</v>
      </c>
      <c r="L204" s="192" t="s">
        <v>143</v>
      </c>
      <c r="M204" s="170">
        <f>G201*1</f>
        <v>191.37</v>
      </c>
      <c r="N204" s="171">
        <v>4.742103696256244</v>
      </c>
      <c r="O204" s="171">
        <f t="shared" si="13"/>
        <v>907.4963843525575</v>
      </c>
      <c r="P204" s="182"/>
      <c r="Q204" s="170"/>
      <c r="R204" s="183">
        <v>0</v>
      </c>
      <c r="S204" s="184">
        <f t="shared" si="14"/>
        <v>0</v>
      </c>
      <c r="T204" s="176"/>
      <c r="U204" s="134">
        <f t="shared" si="15"/>
        <v>0</v>
      </c>
    </row>
    <row r="205" spans="1:21" s="109" customFormat="1" ht="15.75">
      <c r="A205" s="203"/>
      <c r="B205" s="204"/>
      <c r="C205" s="204"/>
      <c r="D205" s="205"/>
      <c r="E205" s="187"/>
      <c r="F205" s="200"/>
      <c r="G205" s="181"/>
      <c r="H205" s="169"/>
      <c r="I205" s="170"/>
      <c r="J205" s="171">
        <v>0</v>
      </c>
      <c r="K205" s="171">
        <f t="shared" si="12"/>
        <v>0</v>
      </c>
      <c r="L205" s="169" t="s">
        <v>146</v>
      </c>
      <c r="M205" s="170">
        <f>G201*0.04</f>
        <v>7.654800000000001</v>
      </c>
      <c r="N205" s="171">
        <v>12.080275</v>
      </c>
      <c r="O205" s="171">
        <f t="shared" si="13"/>
        <v>92.47208907000001</v>
      </c>
      <c r="P205" s="182"/>
      <c r="Q205" s="170"/>
      <c r="R205" s="183">
        <v>0</v>
      </c>
      <c r="S205" s="184">
        <f t="shared" si="14"/>
        <v>0</v>
      </c>
      <c r="T205" s="176"/>
      <c r="U205" s="134">
        <f t="shared" si="15"/>
        <v>0</v>
      </c>
    </row>
    <row r="206" spans="1:21" ht="40.5">
      <c r="A206" s="203" t="s">
        <v>18</v>
      </c>
      <c r="B206" s="204">
        <v>6</v>
      </c>
      <c r="C206" s="204">
        <v>1</v>
      </c>
      <c r="D206" s="205">
        <v>3</v>
      </c>
      <c r="E206" s="187" t="s">
        <v>463</v>
      </c>
      <c r="F206" s="200" t="s">
        <v>35</v>
      </c>
      <c r="G206" s="181">
        <v>62.25</v>
      </c>
      <c r="H206" s="169" t="s">
        <v>129</v>
      </c>
      <c r="I206" s="170">
        <f>ROUNDUP(G206*1.6,0)</f>
        <v>100</v>
      </c>
      <c r="J206" s="171">
        <v>26</v>
      </c>
      <c r="K206" s="171">
        <f t="shared" si="12"/>
        <v>325</v>
      </c>
      <c r="L206" s="169" t="s">
        <v>136</v>
      </c>
      <c r="M206" s="170">
        <f>G206*0.06</f>
        <v>3.735</v>
      </c>
      <c r="N206" s="171">
        <v>174.77097826086958</v>
      </c>
      <c r="O206" s="171">
        <f t="shared" si="13"/>
        <v>652.7696038043479</v>
      </c>
      <c r="P206" s="182" t="s">
        <v>137</v>
      </c>
      <c r="Q206" s="170">
        <f>0.08*G206</f>
        <v>4.98</v>
      </c>
      <c r="R206" s="183">
        <v>30</v>
      </c>
      <c r="S206" s="184">
        <f t="shared" si="14"/>
        <v>149.4</v>
      </c>
      <c r="T206" s="185">
        <f>(SUM(K206:K209,O206:O209,S206:S209)/G206)*1.02</f>
        <v>24.79624010860136</v>
      </c>
      <c r="U206" s="134">
        <f t="shared" si="15"/>
        <v>1543.5659467604346</v>
      </c>
    </row>
    <row r="207" spans="1:21" ht="15.75">
      <c r="A207" s="203"/>
      <c r="B207" s="204"/>
      <c r="C207" s="204"/>
      <c r="D207" s="205"/>
      <c r="E207" s="187"/>
      <c r="F207" s="200"/>
      <c r="G207" s="181"/>
      <c r="H207" s="169" t="s">
        <v>183</v>
      </c>
      <c r="I207" s="170">
        <f>ROUNDUP(G206*0.8,0)</f>
        <v>50</v>
      </c>
      <c r="J207" s="171">
        <v>45.5</v>
      </c>
      <c r="K207" s="171">
        <f t="shared" si="12"/>
        <v>284.375</v>
      </c>
      <c r="L207" s="169" t="s">
        <v>139</v>
      </c>
      <c r="M207" s="170">
        <f>G206*0.02</f>
        <v>1.245</v>
      </c>
      <c r="N207" s="171">
        <v>80</v>
      </c>
      <c r="O207" s="171">
        <f t="shared" si="13"/>
        <v>99.60000000000001</v>
      </c>
      <c r="P207" s="182"/>
      <c r="Q207" s="170"/>
      <c r="R207" s="183">
        <v>0</v>
      </c>
      <c r="S207" s="184">
        <f t="shared" si="14"/>
        <v>0</v>
      </c>
      <c r="T207" s="188"/>
      <c r="U207" s="134">
        <f t="shared" si="15"/>
        <v>0</v>
      </c>
    </row>
    <row r="208" spans="1:21" ht="15.75">
      <c r="A208" s="203"/>
      <c r="B208" s="204"/>
      <c r="C208" s="204"/>
      <c r="D208" s="205"/>
      <c r="E208" s="187"/>
      <c r="F208" s="200"/>
      <c r="G208" s="181"/>
      <c r="H208" s="169"/>
      <c r="I208" s="170"/>
      <c r="J208" s="171">
        <v>0</v>
      </c>
      <c r="K208" s="171">
        <f t="shared" si="12"/>
        <v>0</v>
      </c>
      <c r="L208" s="169" t="s">
        <v>131</v>
      </c>
      <c r="M208" s="170">
        <f>Q206*0.08</f>
        <v>0.39840000000000003</v>
      </c>
      <c r="N208" s="171">
        <v>5.41</v>
      </c>
      <c r="O208" s="171">
        <f t="shared" si="13"/>
        <v>2.1553440000000004</v>
      </c>
      <c r="P208" s="182"/>
      <c r="Q208" s="170"/>
      <c r="R208" s="183">
        <v>0</v>
      </c>
      <c r="S208" s="184">
        <f t="shared" si="14"/>
        <v>0</v>
      </c>
      <c r="T208" s="176"/>
      <c r="U208" s="134">
        <f t="shared" si="15"/>
        <v>0</v>
      </c>
    </row>
    <row r="209" spans="1:21" s="109" customFormat="1" ht="15.75">
      <c r="A209" s="208" t="s">
        <v>18</v>
      </c>
      <c r="B209" s="209">
        <v>6</v>
      </c>
      <c r="C209" s="209">
        <v>2</v>
      </c>
      <c r="D209" s="210"/>
      <c r="E209" s="60" t="s">
        <v>83</v>
      </c>
      <c r="F209" s="71"/>
      <c r="G209" s="212"/>
      <c r="H209" s="213"/>
      <c r="I209" s="214"/>
      <c r="J209" s="171">
        <v>0</v>
      </c>
      <c r="K209" s="171">
        <f t="shared" si="12"/>
        <v>0</v>
      </c>
      <c r="L209" s="215"/>
      <c r="M209" s="216"/>
      <c r="N209" s="171">
        <v>0</v>
      </c>
      <c r="O209" s="171">
        <f t="shared" si="13"/>
        <v>0</v>
      </c>
      <c r="P209" s="217"/>
      <c r="Q209" s="216"/>
      <c r="R209" s="183">
        <v>0</v>
      </c>
      <c r="S209" s="184">
        <f t="shared" si="14"/>
        <v>0</v>
      </c>
      <c r="T209" s="188"/>
      <c r="U209" s="134">
        <f t="shared" si="15"/>
        <v>0</v>
      </c>
    </row>
    <row r="210" spans="1:21" ht="13.5" customHeight="1">
      <c r="A210" s="203" t="s">
        <v>18</v>
      </c>
      <c r="B210" s="204">
        <v>6</v>
      </c>
      <c r="C210" s="204">
        <v>2</v>
      </c>
      <c r="D210" s="205">
        <v>1</v>
      </c>
      <c r="E210" s="187" t="s">
        <v>464</v>
      </c>
      <c r="F210" s="200" t="s">
        <v>35</v>
      </c>
      <c r="G210" s="181">
        <v>18</v>
      </c>
      <c r="H210" s="169" t="s">
        <v>129</v>
      </c>
      <c r="I210" s="170">
        <f>ROUNDUP(G210*1.6,0)</f>
        <v>29</v>
      </c>
      <c r="J210" s="171">
        <v>26</v>
      </c>
      <c r="K210" s="171">
        <f t="shared" si="12"/>
        <v>94.25</v>
      </c>
      <c r="L210" s="169" t="s">
        <v>136</v>
      </c>
      <c r="M210" s="170">
        <f>G210*0.21</f>
        <v>3.78</v>
      </c>
      <c r="N210" s="171">
        <v>174.77097826086958</v>
      </c>
      <c r="O210" s="171">
        <f t="shared" si="13"/>
        <v>660.6342978260869</v>
      </c>
      <c r="P210" s="182" t="s">
        <v>137</v>
      </c>
      <c r="Q210" s="170">
        <f>0.08*G210</f>
        <v>1.44</v>
      </c>
      <c r="R210" s="183">
        <v>30</v>
      </c>
      <c r="S210" s="184">
        <f t="shared" si="14"/>
        <v>43.199999999999996</v>
      </c>
      <c r="T210" s="185">
        <f>(SUM(K210:K212,O210:O212,S210:S212)/G210)*1.02</f>
        <v>55.8064683568116</v>
      </c>
      <c r="U210" s="134">
        <f t="shared" si="15"/>
        <v>1004.5164304226088</v>
      </c>
    </row>
    <row r="211" spans="1:21" ht="15.75">
      <c r="A211" s="203"/>
      <c r="B211" s="204"/>
      <c r="C211" s="204"/>
      <c r="D211" s="205"/>
      <c r="E211" s="187"/>
      <c r="F211" s="200"/>
      <c r="G211" s="181"/>
      <c r="H211" s="169" t="s">
        <v>183</v>
      </c>
      <c r="I211" s="170">
        <f>ROUNDUP(G210*0.8,0)</f>
        <v>15</v>
      </c>
      <c r="J211" s="171">
        <v>45.5</v>
      </c>
      <c r="K211" s="171">
        <f t="shared" si="12"/>
        <v>85.3125</v>
      </c>
      <c r="L211" s="169" t="s">
        <v>139</v>
      </c>
      <c r="M211" s="170">
        <f>G210*0.07</f>
        <v>1.2600000000000002</v>
      </c>
      <c r="N211" s="171">
        <v>80</v>
      </c>
      <c r="O211" s="171">
        <f t="shared" si="13"/>
        <v>100.80000000000001</v>
      </c>
      <c r="P211" s="182"/>
      <c r="Q211" s="170"/>
      <c r="R211" s="183">
        <v>0</v>
      </c>
      <c r="S211" s="184">
        <f t="shared" si="14"/>
        <v>0</v>
      </c>
      <c r="T211" s="176"/>
      <c r="U211" s="134">
        <f t="shared" si="15"/>
        <v>0</v>
      </c>
    </row>
    <row r="212" spans="1:21" ht="15.75">
      <c r="A212" s="177"/>
      <c r="B212" s="178"/>
      <c r="C212" s="178"/>
      <c r="D212" s="179"/>
      <c r="E212" s="193"/>
      <c r="F212" s="180"/>
      <c r="G212" s="181"/>
      <c r="H212" s="169"/>
      <c r="I212" s="170"/>
      <c r="J212" s="171">
        <v>0</v>
      </c>
      <c r="K212" s="171">
        <f aca="true" t="shared" si="16" ref="K212:K275">I212*J212/8</f>
        <v>0</v>
      </c>
      <c r="L212" s="169" t="s">
        <v>131</v>
      </c>
      <c r="M212" s="170">
        <f>Q210*0.08</f>
        <v>0.1152</v>
      </c>
      <c r="N212" s="171">
        <v>5.41</v>
      </c>
      <c r="O212" s="171">
        <f aca="true" t="shared" si="17" ref="O212:O275">M212*N212</f>
        <v>0.623232</v>
      </c>
      <c r="P212" s="182"/>
      <c r="Q212" s="170"/>
      <c r="R212" s="183">
        <v>0</v>
      </c>
      <c r="S212" s="184">
        <f aca="true" t="shared" si="18" ref="S212:S275">R212*Q212</f>
        <v>0</v>
      </c>
      <c r="T212" s="188"/>
      <c r="U212" s="134">
        <f t="shared" si="15"/>
        <v>0</v>
      </c>
    </row>
    <row r="213" spans="1:21" ht="15.75">
      <c r="A213" s="203" t="s">
        <v>18</v>
      </c>
      <c r="B213" s="204">
        <v>6</v>
      </c>
      <c r="C213" s="204">
        <v>2</v>
      </c>
      <c r="D213" s="205">
        <v>2</v>
      </c>
      <c r="E213" s="187" t="s">
        <v>84</v>
      </c>
      <c r="F213" s="200" t="s">
        <v>35</v>
      </c>
      <c r="G213" s="181">
        <v>18</v>
      </c>
      <c r="H213" s="169" t="s">
        <v>129</v>
      </c>
      <c r="I213" s="170">
        <f>ROUNDUP(G213*0.5,0)</f>
        <v>9</v>
      </c>
      <c r="J213" s="171">
        <v>26</v>
      </c>
      <c r="K213" s="171">
        <f t="shared" si="16"/>
        <v>29.25</v>
      </c>
      <c r="L213" s="169" t="s">
        <v>184</v>
      </c>
      <c r="M213" s="170">
        <f>G213*1.02</f>
        <v>18.36</v>
      </c>
      <c r="N213" s="171">
        <v>48</v>
      </c>
      <c r="O213" s="171">
        <f t="shared" si="17"/>
        <v>881.28</v>
      </c>
      <c r="P213" s="182"/>
      <c r="Q213" s="170"/>
      <c r="R213" s="183">
        <v>0</v>
      </c>
      <c r="S213" s="184">
        <f t="shared" si="18"/>
        <v>0</v>
      </c>
      <c r="T213" s="185">
        <f>(SUM(K213:K215,O213:O215,S213:S215)/G213)*1.02</f>
        <v>63.402732074999996</v>
      </c>
      <c r="U213" s="134">
        <f t="shared" si="15"/>
        <v>1141.2491773499999</v>
      </c>
    </row>
    <row r="214" spans="1:21" ht="15.75">
      <c r="A214" s="203"/>
      <c r="B214" s="204"/>
      <c r="C214" s="204"/>
      <c r="D214" s="205"/>
      <c r="E214" s="187"/>
      <c r="F214" s="200"/>
      <c r="G214" s="181"/>
      <c r="H214" s="169" t="s">
        <v>185</v>
      </c>
      <c r="I214" s="170">
        <f>ROUNDUP(G213*0.5,0)</f>
        <v>9</v>
      </c>
      <c r="J214" s="171">
        <v>65</v>
      </c>
      <c r="K214" s="171">
        <f t="shared" si="16"/>
        <v>73.125</v>
      </c>
      <c r="L214" s="169" t="s">
        <v>186</v>
      </c>
      <c r="M214" s="170">
        <f>G213*0.15</f>
        <v>2.6999999999999997</v>
      </c>
      <c r="N214" s="171">
        <v>50.080275</v>
      </c>
      <c r="O214" s="171">
        <f t="shared" si="17"/>
        <v>135.21674249999998</v>
      </c>
      <c r="P214" s="182"/>
      <c r="Q214" s="170"/>
      <c r="R214" s="183">
        <v>0</v>
      </c>
      <c r="S214" s="184">
        <f t="shared" si="18"/>
        <v>0</v>
      </c>
      <c r="T214" s="188"/>
      <c r="U214" s="134">
        <f t="shared" si="15"/>
        <v>0</v>
      </c>
    </row>
    <row r="215" spans="1:21" ht="15.75">
      <c r="A215" s="203"/>
      <c r="B215" s="204"/>
      <c r="C215" s="204"/>
      <c r="D215" s="205"/>
      <c r="E215" s="187"/>
      <c r="F215" s="200"/>
      <c r="G215" s="181"/>
      <c r="H215" s="169"/>
      <c r="I215" s="170"/>
      <c r="J215" s="171">
        <v>0</v>
      </c>
      <c r="K215" s="171">
        <f t="shared" si="16"/>
        <v>0</v>
      </c>
      <c r="L215" s="169"/>
      <c r="M215" s="170"/>
      <c r="N215" s="171">
        <v>0</v>
      </c>
      <c r="O215" s="171">
        <f t="shared" si="17"/>
        <v>0</v>
      </c>
      <c r="P215" s="182"/>
      <c r="Q215" s="170"/>
      <c r="R215" s="183">
        <v>0</v>
      </c>
      <c r="S215" s="184">
        <f t="shared" si="18"/>
        <v>0</v>
      </c>
      <c r="T215" s="185"/>
      <c r="U215" s="134">
        <f t="shared" si="15"/>
        <v>0</v>
      </c>
    </row>
    <row r="216" spans="1:21" ht="15.75">
      <c r="A216" s="203" t="s">
        <v>18</v>
      </c>
      <c r="B216" s="204">
        <v>6</v>
      </c>
      <c r="C216" s="204">
        <v>2</v>
      </c>
      <c r="D216" s="205">
        <v>3</v>
      </c>
      <c r="E216" s="187" t="s">
        <v>85</v>
      </c>
      <c r="F216" s="200" t="s">
        <v>35</v>
      </c>
      <c r="G216" s="181">
        <v>54.6</v>
      </c>
      <c r="H216" s="169" t="s">
        <v>129</v>
      </c>
      <c r="I216" s="170">
        <f>ROUNDUP(G216*0.25,0)</f>
        <v>14</v>
      </c>
      <c r="J216" s="171">
        <v>26</v>
      </c>
      <c r="K216" s="171">
        <f t="shared" si="16"/>
        <v>45.5</v>
      </c>
      <c r="L216" s="169" t="s">
        <v>187</v>
      </c>
      <c r="M216" s="170">
        <f>G216*1.02</f>
        <v>55.692</v>
      </c>
      <c r="N216" s="171">
        <v>10</v>
      </c>
      <c r="O216" s="171">
        <f t="shared" si="17"/>
        <v>556.92</v>
      </c>
      <c r="P216" s="182"/>
      <c r="Q216" s="170"/>
      <c r="R216" s="183">
        <v>0</v>
      </c>
      <c r="S216" s="184">
        <f t="shared" si="18"/>
        <v>0</v>
      </c>
      <c r="T216" s="185">
        <f>(SUM(K216:K218,O216:O218,S216:S218)/G216)*1.02</f>
        <v>13.8392282075</v>
      </c>
      <c r="U216" s="134">
        <f t="shared" si="15"/>
        <v>755.6218601295</v>
      </c>
    </row>
    <row r="217" spans="1:21" ht="15.75">
      <c r="A217" s="203"/>
      <c r="B217" s="204"/>
      <c r="C217" s="204"/>
      <c r="D217" s="205"/>
      <c r="E217" s="187"/>
      <c r="F217" s="200"/>
      <c r="G217" s="181"/>
      <c r="H217" s="169" t="s">
        <v>185</v>
      </c>
      <c r="I217" s="170">
        <f>ROUNDUP(G216*0.25,0)</f>
        <v>14</v>
      </c>
      <c r="J217" s="171">
        <v>65</v>
      </c>
      <c r="K217" s="171">
        <f t="shared" si="16"/>
        <v>113.75</v>
      </c>
      <c r="L217" s="169" t="s">
        <v>188</v>
      </c>
      <c r="M217" s="170">
        <f>G216*0.015</f>
        <v>0.819</v>
      </c>
      <c r="N217" s="171">
        <v>30.080275</v>
      </c>
      <c r="O217" s="171">
        <f t="shared" si="17"/>
        <v>24.635745224999997</v>
      </c>
      <c r="P217" s="182"/>
      <c r="Q217" s="170"/>
      <c r="R217" s="183">
        <v>0</v>
      </c>
      <c r="S217" s="184">
        <f t="shared" si="18"/>
        <v>0</v>
      </c>
      <c r="T217" s="185"/>
      <c r="U217" s="134">
        <f t="shared" si="15"/>
        <v>0</v>
      </c>
    </row>
    <row r="218" spans="1:21" ht="15.75">
      <c r="A218" s="203"/>
      <c r="B218" s="204"/>
      <c r="C218" s="204"/>
      <c r="D218" s="205"/>
      <c r="E218" s="187"/>
      <c r="F218" s="200"/>
      <c r="G218" s="181"/>
      <c r="H218" s="169"/>
      <c r="I218" s="170"/>
      <c r="J218" s="171">
        <v>0</v>
      </c>
      <c r="K218" s="171">
        <f t="shared" si="16"/>
        <v>0</v>
      </c>
      <c r="L218" s="169"/>
      <c r="M218" s="170"/>
      <c r="N218" s="171">
        <v>0</v>
      </c>
      <c r="O218" s="171">
        <f t="shared" si="17"/>
        <v>0</v>
      </c>
      <c r="P218" s="182"/>
      <c r="Q218" s="170"/>
      <c r="R218" s="183">
        <v>0</v>
      </c>
      <c r="S218" s="184">
        <f t="shared" si="18"/>
        <v>0</v>
      </c>
      <c r="T218" s="185"/>
      <c r="U218" s="134">
        <f t="shared" si="15"/>
        <v>0</v>
      </c>
    </row>
    <row r="219" spans="1:21" ht="27.75">
      <c r="A219" s="203" t="s">
        <v>18</v>
      </c>
      <c r="B219" s="204">
        <v>6</v>
      </c>
      <c r="C219" s="204">
        <v>2</v>
      </c>
      <c r="D219" s="205">
        <v>4</v>
      </c>
      <c r="E219" s="187" t="s">
        <v>86</v>
      </c>
      <c r="F219" s="200" t="s">
        <v>35</v>
      </c>
      <c r="G219" s="181">
        <v>54</v>
      </c>
      <c r="H219" s="169" t="s">
        <v>129</v>
      </c>
      <c r="I219" s="170">
        <f>ROUNDUP(G219*0.67,0)</f>
        <v>37</v>
      </c>
      <c r="J219" s="171">
        <v>26</v>
      </c>
      <c r="K219" s="171">
        <f t="shared" si="16"/>
        <v>120.25</v>
      </c>
      <c r="L219" s="169" t="s">
        <v>136</v>
      </c>
      <c r="M219" s="170">
        <f>G219*0.1</f>
        <v>5.4</v>
      </c>
      <c r="N219" s="171">
        <v>174.77097826086958</v>
      </c>
      <c r="O219" s="171">
        <f t="shared" si="17"/>
        <v>943.7632826086958</v>
      </c>
      <c r="P219" s="182" t="s">
        <v>137</v>
      </c>
      <c r="Q219" s="170">
        <f>G219*0.06</f>
        <v>3.2399999999999998</v>
      </c>
      <c r="R219" s="183">
        <v>30</v>
      </c>
      <c r="S219" s="184">
        <f t="shared" si="18"/>
        <v>97.19999999999999</v>
      </c>
      <c r="T219" s="185">
        <f>(SUM(K219:K222,O219:O222,S219:S222)/G219)*1.02</f>
        <v>136.9169215314976</v>
      </c>
      <c r="U219" s="134">
        <f t="shared" si="15"/>
        <v>7393.51376270087</v>
      </c>
    </row>
    <row r="220" spans="1:21" ht="15.75">
      <c r="A220" s="203"/>
      <c r="B220" s="204"/>
      <c r="C220" s="204"/>
      <c r="D220" s="205"/>
      <c r="E220" s="187"/>
      <c r="F220" s="200"/>
      <c r="G220" s="181"/>
      <c r="H220" s="169" t="s">
        <v>185</v>
      </c>
      <c r="I220" s="170">
        <f>ROUNDUP(G219*0.33,0)</f>
        <v>18</v>
      </c>
      <c r="J220" s="171">
        <v>65</v>
      </c>
      <c r="K220" s="171">
        <f t="shared" si="16"/>
        <v>146.25</v>
      </c>
      <c r="L220" s="169" t="s">
        <v>139</v>
      </c>
      <c r="M220" s="170">
        <f>G219*0.24</f>
        <v>12.959999999999999</v>
      </c>
      <c r="N220" s="171">
        <v>80</v>
      </c>
      <c r="O220" s="171">
        <f t="shared" si="17"/>
        <v>1036.8</v>
      </c>
      <c r="P220" s="182"/>
      <c r="Q220" s="170"/>
      <c r="R220" s="183">
        <v>0</v>
      </c>
      <c r="S220" s="184">
        <f t="shared" si="18"/>
        <v>0</v>
      </c>
      <c r="T220" s="188"/>
      <c r="U220" s="134">
        <f t="shared" si="15"/>
        <v>0</v>
      </c>
    </row>
    <row r="221" spans="1:21" ht="15.75">
      <c r="A221" s="203"/>
      <c r="B221" s="204"/>
      <c r="C221" s="204"/>
      <c r="D221" s="205"/>
      <c r="E221" s="187"/>
      <c r="F221" s="200"/>
      <c r="G221" s="181"/>
      <c r="H221" s="169"/>
      <c r="I221" s="170"/>
      <c r="J221" s="171">
        <v>0</v>
      </c>
      <c r="K221" s="171">
        <f t="shared" si="16"/>
        <v>0</v>
      </c>
      <c r="L221" s="169" t="s">
        <v>189</v>
      </c>
      <c r="M221" s="170">
        <f>G219*1.02</f>
        <v>55.08</v>
      </c>
      <c r="N221" s="171">
        <v>89.01375</v>
      </c>
      <c r="O221" s="171">
        <f t="shared" si="17"/>
        <v>4902.87735</v>
      </c>
      <c r="P221" s="182"/>
      <c r="Q221" s="170"/>
      <c r="R221" s="183">
        <v>0</v>
      </c>
      <c r="S221" s="184">
        <f t="shared" si="18"/>
        <v>0</v>
      </c>
      <c r="T221" s="185"/>
      <c r="U221" s="134">
        <f t="shared" si="15"/>
        <v>0</v>
      </c>
    </row>
    <row r="222" spans="1:21" ht="15.75">
      <c r="A222" s="203"/>
      <c r="B222" s="204"/>
      <c r="C222" s="204"/>
      <c r="D222" s="205"/>
      <c r="E222" s="187"/>
      <c r="F222" s="200"/>
      <c r="G222" s="181"/>
      <c r="H222" s="169"/>
      <c r="I222" s="170"/>
      <c r="J222" s="171">
        <v>0</v>
      </c>
      <c r="K222" s="171">
        <f t="shared" si="16"/>
        <v>0</v>
      </c>
      <c r="L222" s="169" t="s">
        <v>131</v>
      </c>
      <c r="M222" s="170">
        <f>Q219*0.08</f>
        <v>0.2592</v>
      </c>
      <c r="N222" s="171">
        <v>5.41</v>
      </c>
      <c r="O222" s="171">
        <f t="shared" si="17"/>
        <v>1.402272</v>
      </c>
      <c r="P222" s="182"/>
      <c r="Q222" s="170"/>
      <c r="R222" s="183">
        <v>0</v>
      </c>
      <c r="S222" s="184">
        <f t="shared" si="18"/>
        <v>0</v>
      </c>
      <c r="T222" s="185"/>
      <c r="U222" s="134">
        <f t="shared" si="15"/>
        <v>0</v>
      </c>
    </row>
    <row r="223" spans="1:21" ht="27.75">
      <c r="A223" s="203" t="s">
        <v>18</v>
      </c>
      <c r="B223" s="204">
        <v>6</v>
      </c>
      <c r="C223" s="204">
        <v>2</v>
      </c>
      <c r="D223" s="205">
        <v>5</v>
      </c>
      <c r="E223" s="187" t="s">
        <v>87</v>
      </c>
      <c r="F223" s="200" t="s">
        <v>35</v>
      </c>
      <c r="G223" s="181">
        <v>85.8</v>
      </c>
      <c r="H223" s="169" t="s">
        <v>129</v>
      </c>
      <c r="I223" s="170">
        <f>ROUNDUP(G223*0.33,0)</f>
        <v>29</v>
      </c>
      <c r="J223" s="171">
        <v>26</v>
      </c>
      <c r="K223" s="171">
        <f t="shared" si="16"/>
        <v>94.25</v>
      </c>
      <c r="L223" s="169" t="s">
        <v>136</v>
      </c>
      <c r="M223" s="170">
        <f>G223*0.01</f>
        <v>0.858</v>
      </c>
      <c r="N223" s="171">
        <v>174.77097826086958</v>
      </c>
      <c r="O223" s="171">
        <f t="shared" si="17"/>
        <v>149.9534993478261</v>
      </c>
      <c r="P223" s="182" t="s">
        <v>137</v>
      </c>
      <c r="Q223" s="170">
        <f>G223*0.03</f>
        <v>2.574</v>
      </c>
      <c r="R223" s="183">
        <v>30</v>
      </c>
      <c r="S223" s="184">
        <f t="shared" si="18"/>
        <v>77.22</v>
      </c>
      <c r="T223" s="185">
        <f>(SUM(K223:K227,O223:O227,S223:S227)/G223)*1.02</f>
        <v>27.88143039007905</v>
      </c>
      <c r="U223" s="134">
        <f t="shared" si="15"/>
        <v>2392.2267274687824</v>
      </c>
    </row>
    <row r="224" spans="1:21" ht="15.75">
      <c r="A224" s="203"/>
      <c r="B224" s="204"/>
      <c r="C224" s="204"/>
      <c r="D224" s="205"/>
      <c r="E224" s="187"/>
      <c r="F224" s="200"/>
      <c r="G224" s="181"/>
      <c r="H224" s="169" t="s">
        <v>185</v>
      </c>
      <c r="I224" s="170">
        <f>ROUNDUP(G223*0.17,0)</f>
        <v>15</v>
      </c>
      <c r="J224" s="171">
        <v>65</v>
      </c>
      <c r="K224" s="171">
        <f t="shared" si="16"/>
        <v>121.875</v>
      </c>
      <c r="L224" s="169" t="s">
        <v>139</v>
      </c>
      <c r="M224" s="170">
        <f>G223*0.01</f>
        <v>0.858</v>
      </c>
      <c r="N224" s="171">
        <v>80</v>
      </c>
      <c r="O224" s="171">
        <f t="shared" si="17"/>
        <v>68.64</v>
      </c>
      <c r="P224" s="182"/>
      <c r="Q224" s="170"/>
      <c r="R224" s="183">
        <v>0</v>
      </c>
      <c r="S224" s="184">
        <f t="shared" si="18"/>
        <v>0</v>
      </c>
      <c r="T224" s="185"/>
      <c r="U224" s="134">
        <f t="shared" si="15"/>
        <v>0</v>
      </c>
    </row>
    <row r="225" spans="1:21" ht="15.75">
      <c r="A225" s="203"/>
      <c r="B225" s="204"/>
      <c r="C225" s="204"/>
      <c r="D225" s="205"/>
      <c r="E225" s="187"/>
      <c r="F225" s="200"/>
      <c r="G225" s="181"/>
      <c r="H225" s="169"/>
      <c r="I225" s="170"/>
      <c r="J225" s="171">
        <v>0</v>
      </c>
      <c r="K225" s="171">
        <f t="shared" si="16"/>
        <v>0</v>
      </c>
      <c r="L225" s="169" t="s">
        <v>190</v>
      </c>
      <c r="M225" s="170">
        <f>G223*1.02</f>
        <v>87.516</v>
      </c>
      <c r="N225" s="171">
        <v>20.936374999999998</v>
      </c>
      <c r="O225" s="171">
        <f t="shared" si="17"/>
        <v>1832.2677945</v>
      </c>
      <c r="P225" s="182"/>
      <c r="Q225" s="170"/>
      <c r="R225" s="183">
        <v>0</v>
      </c>
      <c r="S225" s="184">
        <f t="shared" si="18"/>
        <v>0</v>
      </c>
      <c r="T225" s="185"/>
      <c r="U225" s="134">
        <f t="shared" si="15"/>
        <v>0</v>
      </c>
    </row>
    <row r="226" spans="1:21" ht="15.75">
      <c r="A226" s="203"/>
      <c r="B226" s="204"/>
      <c r="C226" s="204"/>
      <c r="D226" s="205"/>
      <c r="E226" s="187"/>
      <c r="F226" s="200"/>
      <c r="G226" s="181"/>
      <c r="H226" s="169"/>
      <c r="I226" s="170"/>
      <c r="J226" s="171">
        <v>0</v>
      </c>
      <c r="K226" s="171">
        <f t="shared" si="16"/>
        <v>0</v>
      </c>
      <c r="L226" s="169" t="s">
        <v>131</v>
      </c>
      <c r="M226" s="170">
        <f>Q223*0.08</f>
        <v>0.20592</v>
      </c>
      <c r="N226" s="171">
        <v>5.41</v>
      </c>
      <c r="O226" s="171">
        <f t="shared" si="17"/>
        <v>1.1140272</v>
      </c>
      <c r="P226" s="182"/>
      <c r="Q226" s="170"/>
      <c r="R226" s="183">
        <v>0</v>
      </c>
      <c r="S226" s="184">
        <f t="shared" si="18"/>
        <v>0</v>
      </c>
      <c r="T226" s="185"/>
      <c r="U226" s="134">
        <f t="shared" si="15"/>
        <v>0</v>
      </c>
    </row>
    <row r="227" spans="1:21" ht="15.75">
      <c r="A227" s="203" t="s">
        <v>18</v>
      </c>
      <c r="B227" s="204">
        <v>6</v>
      </c>
      <c r="C227" s="204">
        <v>3</v>
      </c>
      <c r="D227" s="205"/>
      <c r="E227" s="186" t="s">
        <v>88</v>
      </c>
      <c r="F227" s="200"/>
      <c r="G227" s="181"/>
      <c r="H227" s="169"/>
      <c r="I227" s="170"/>
      <c r="J227" s="171">
        <v>0</v>
      </c>
      <c r="K227" s="171">
        <f t="shared" si="16"/>
        <v>0</v>
      </c>
      <c r="L227" s="169"/>
      <c r="M227" s="170"/>
      <c r="N227" s="171">
        <v>0</v>
      </c>
      <c r="O227" s="171">
        <f t="shared" si="17"/>
        <v>0</v>
      </c>
      <c r="P227" s="182"/>
      <c r="Q227" s="170"/>
      <c r="R227" s="183">
        <v>0</v>
      </c>
      <c r="S227" s="184">
        <f t="shared" si="18"/>
        <v>0</v>
      </c>
      <c r="T227" s="176"/>
      <c r="U227" s="134">
        <f t="shared" si="15"/>
        <v>0</v>
      </c>
    </row>
    <row r="228" spans="1:21" ht="15.75">
      <c r="A228" s="203" t="s">
        <v>18</v>
      </c>
      <c r="B228" s="204">
        <v>6</v>
      </c>
      <c r="C228" s="204">
        <v>3</v>
      </c>
      <c r="D228" s="205">
        <v>1</v>
      </c>
      <c r="E228" s="187" t="s">
        <v>89</v>
      </c>
      <c r="F228" s="200" t="s">
        <v>35</v>
      </c>
      <c r="G228" s="181">
        <v>62.25</v>
      </c>
      <c r="H228" s="169" t="s">
        <v>129</v>
      </c>
      <c r="I228" s="170">
        <f>ROUNDUP(G228*2,0)</f>
        <v>125</v>
      </c>
      <c r="J228" s="171">
        <v>26</v>
      </c>
      <c r="K228" s="171">
        <f t="shared" si="16"/>
        <v>406.25</v>
      </c>
      <c r="L228" s="169" t="s">
        <v>136</v>
      </c>
      <c r="M228" s="170">
        <f>G228*0.01</f>
        <v>0.6225</v>
      </c>
      <c r="N228" s="171">
        <v>174.77097826086958</v>
      </c>
      <c r="O228" s="171">
        <f t="shared" si="17"/>
        <v>108.79493396739133</v>
      </c>
      <c r="P228" s="182"/>
      <c r="Q228" s="170"/>
      <c r="R228" s="183">
        <v>0</v>
      </c>
      <c r="S228" s="184">
        <f t="shared" si="18"/>
        <v>0</v>
      </c>
      <c r="T228" s="185">
        <f>(SUM(K228:K231,O228:O231,S228:S231)/G228)*1.02</f>
        <v>115.34389935187535</v>
      </c>
      <c r="U228" s="134">
        <f t="shared" si="15"/>
        <v>7180.157734654241</v>
      </c>
    </row>
    <row r="229" spans="1:21" ht="15.75">
      <c r="A229" s="203"/>
      <c r="B229" s="204"/>
      <c r="C229" s="204"/>
      <c r="D229" s="205"/>
      <c r="E229" s="187"/>
      <c r="F229" s="200"/>
      <c r="G229" s="181"/>
      <c r="H229" s="169" t="s">
        <v>185</v>
      </c>
      <c r="I229" s="170">
        <f>ROUNDUP(G228*1,0)</f>
        <v>63</v>
      </c>
      <c r="J229" s="171">
        <v>65</v>
      </c>
      <c r="K229" s="171">
        <f t="shared" si="16"/>
        <v>511.875</v>
      </c>
      <c r="L229" s="169" t="s">
        <v>139</v>
      </c>
      <c r="M229" s="170">
        <f>G228*0.01</f>
        <v>0.6225</v>
      </c>
      <c r="N229" s="171">
        <v>80</v>
      </c>
      <c r="O229" s="171">
        <f t="shared" si="17"/>
        <v>49.800000000000004</v>
      </c>
      <c r="P229" s="182"/>
      <c r="Q229" s="170"/>
      <c r="R229" s="183">
        <v>0</v>
      </c>
      <c r="S229" s="184">
        <f t="shared" si="18"/>
        <v>0</v>
      </c>
      <c r="T229" s="185"/>
      <c r="U229" s="134">
        <f t="shared" si="15"/>
        <v>0</v>
      </c>
    </row>
    <row r="230" spans="1:21" ht="15.75">
      <c r="A230" s="203"/>
      <c r="B230" s="204"/>
      <c r="C230" s="204"/>
      <c r="D230" s="205"/>
      <c r="E230" s="187"/>
      <c r="F230" s="200"/>
      <c r="G230" s="181"/>
      <c r="H230" s="169"/>
      <c r="I230" s="170"/>
      <c r="J230" s="171">
        <v>0</v>
      </c>
      <c r="K230" s="171">
        <f t="shared" si="16"/>
        <v>0</v>
      </c>
      <c r="L230" s="169" t="s">
        <v>191</v>
      </c>
      <c r="M230" s="170">
        <f>G228*1.02</f>
        <v>63.495000000000005</v>
      </c>
      <c r="N230" s="171">
        <v>85.561925</v>
      </c>
      <c r="O230" s="171">
        <f t="shared" si="17"/>
        <v>5432.754427875</v>
      </c>
      <c r="P230" s="182"/>
      <c r="Q230" s="170"/>
      <c r="R230" s="183">
        <v>0</v>
      </c>
      <c r="S230" s="184">
        <f t="shared" si="18"/>
        <v>0</v>
      </c>
      <c r="T230" s="188"/>
      <c r="U230" s="134">
        <f t="shared" si="15"/>
        <v>0</v>
      </c>
    </row>
    <row r="231" spans="1:21" ht="15.75">
      <c r="A231" s="203"/>
      <c r="B231" s="204"/>
      <c r="C231" s="204"/>
      <c r="D231" s="205"/>
      <c r="E231" s="187"/>
      <c r="F231" s="200"/>
      <c r="G231" s="181"/>
      <c r="H231" s="169"/>
      <c r="I231" s="170"/>
      <c r="J231" s="171">
        <v>0</v>
      </c>
      <c r="K231" s="171">
        <f t="shared" si="16"/>
        <v>0</v>
      </c>
      <c r="L231" s="169" t="s">
        <v>192</v>
      </c>
      <c r="M231" s="170">
        <f>G228*1.4</f>
        <v>87.14999999999999</v>
      </c>
      <c r="N231" s="171">
        <v>6.080275</v>
      </c>
      <c r="O231" s="171">
        <f t="shared" si="17"/>
        <v>529.89596625</v>
      </c>
      <c r="P231" s="182"/>
      <c r="Q231" s="170"/>
      <c r="R231" s="183">
        <v>0</v>
      </c>
      <c r="S231" s="184">
        <f t="shared" si="18"/>
        <v>0</v>
      </c>
      <c r="T231" s="176"/>
      <c r="U231" s="134">
        <f t="shared" si="15"/>
        <v>0</v>
      </c>
    </row>
    <row r="232" spans="1:21" ht="15.75">
      <c r="A232" s="203"/>
      <c r="B232" s="204"/>
      <c r="C232" s="204"/>
      <c r="D232" s="205"/>
      <c r="E232" s="187"/>
      <c r="F232" s="200"/>
      <c r="G232" s="181"/>
      <c r="H232" s="169"/>
      <c r="I232" s="170"/>
      <c r="J232" s="171">
        <v>0</v>
      </c>
      <c r="K232" s="171">
        <f t="shared" si="16"/>
        <v>0</v>
      </c>
      <c r="L232" s="169"/>
      <c r="M232" s="170"/>
      <c r="N232" s="171">
        <v>0</v>
      </c>
      <c r="O232" s="171">
        <f t="shared" si="17"/>
        <v>0</v>
      </c>
      <c r="P232" s="182"/>
      <c r="Q232" s="170"/>
      <c r="R232" s="183">
        <v>0</v>
      </c>
      <c r="S232" s="184">
        <f t="shared" si="18"/>
        <v>0</v>
      </c>
      <c r="T232" s="185"/>
      <c r="U232" s="134">
        <f t="shared" si="15"/>
        <v>0</v>
      </c>
    </row>
    <row r="233" spans="1:21" s="109" customFormat="1" ht="15.75">
      <c r="A233" s="197" t="s">
        <v>18</v>
      </c>
      <c r="B233" s="198">
        <v>6</v>
      </c>
      <c r="C233" s="198">
        <v>4</v>
      </c>
      <c r="D233" s="201"/>
      <c r="E233" s="186" t="s">
        <v>90</v>
      </c>
      <c r="F233" s="202"/>
      <c r="G233" s="181">
        <v>0</v>
      </c>
      <c r="H233" s="169"/>
      <c r="I233" s="170"/>
      <c r="J233" s="171">
        <v>0</v>
      </c>
      <c r="K233" s="171">
        <f t="shared" si="16"/>
        <v>0</v>
      </c>
      <c r="L233" s="169"/>
      <c r="M233" s="170"/>
      <c r="N233" s="171">
        <v>0</v>
      </c>
      <c r="O233" s="171">
        <f t="shared" si="17"/>
        <v>0</v>
      </c>
      <c r="P233" s="182"/>
      <c r="Q233" s="170"/>
      <c r="R233" s="183">
        <v>0</v>
      </c>
      <c r="S233" s="184">
        <f t="shared" si="18"/>
        <v>0</v>
      </c>
      <c r="T233" s="176"/>
      <c r="U233" s="134">
        <f t="shared" si="15"/>
        <v>0</v>
      </c>
    </row>
    <row r="234" spans="1:21" s="109" customFormat="1" ht="54">
      <c r="A234" s="203" t="s">
        <v>18</v>
      </c>
      <c r="B234" s="204">
        <v>6</v>
      </c>
      <c r="C234" s="204">
        <v>4</v>
      </c>
      <c r="D234" s="205">
        <v>1</v>
      </c>
      <c r="E234" s="187" t="s">
        <v>437</v>
      </c>
      <c r="F234" s="200" t="s">
        <v>35</v>
      </c>
      <c r="G234" s="181">
        <v>23.28</v>
      </c>
      <c r="H234" s="169" t="s">
        <v>129</v>
      </c>
      <c r="I234" s="170">
        <f>ROUNDUP(G234*0.66,0)</f>
        <v>16</v>
      </c>
      <c r="J234" s="171">
        <v>26</v>
      </c>
      <c r="K234" s="171">
        <f t="shared" si="16"/>
        <v>52</v>
      </c>
      <c r="L234" s="169" t="s">
        <v>136</v>
      </c>
      <c r="M234" s="170">
        <f>G234*0.18</f>
        <v>4.1904</v>
      </c>
      <c r="N234" s="171">
        <v>174.77097826086958</v>
      </c>
      <c r="O234" s="171">
        <f t="shared" si="17"/>
        <v>732.360307304348</v>
      </c>
      <c r="P234" s="182" t="s">
        <v>137</v>
      </c>
      <c r="Q234" s="170">
        <f>0.02*G234</f>
        <v>0.4656</v>
      </c>
      <c r="R234" s="183">
        <v>30</v>
      </c>
      <c r="S234" s="184">
        <f t="shared" si="18"/>
        <v>13.968</v>
      </c>
      <c r="T234" s="185">
        <f>(SUM(K234:K239,O234:O239,S234:S239)/G234)*1.02</f>
        <v>115.66387351220081</v>
      </c>
      <c r="U234" s="134">
        <f t="shared" si="15"/>
        <v>2692.654975364035</v>
      </c>
    </row>
    <row r="235" spans="1:21" ht="15.75">
      <c r="A235" s="203"/>
      <c r="B235" s="204"/>
      <c r="C235" s="204"/>
      <c r="D235" s="205"/>
      <c r="E235" s="187"/>
      <c r="F235" s="200"/>
      <c r="G235" s="181"/>
      <c r="H235" s="169" t="s">
        <v>135</v>
      </c>
      <c r="I235" s="170">
        <f>ROUNDUP(G234*0.33,0)</f>
        <v>8</v>
      </c>
      <c r="J235" s="171">
        <v>52</v>
      </c>
      <c r="K235" s="171">
        <f t="shared" si="16"/>
        <v>52</v>
      </c>
      <c r="L235" s="169" t="s">
        <v>139</v>
      </c>
      <c r="M235" s="170">
        <f>G234*0.03</f>
        <v>0.6984</v>
      </c>
      <c r="N235" s="171">
        <v>80</v>
      </c>
      <c r="O235" s="171">
        <f t="shared" si="17"/>
        <v>55.872</v>
      </c>
      <c r="P235" s="182"/>
      <c r="Q235" s="170"/>
      <c r="R235" s="183">
        <v>0</v>
      </c>
      <c r="S235" s="184">
        <f t="shared" si="18"/>
        <v>0</v>
      </c>
      <c r="T235" s="188"/>
      <c r="U235" s="134">
        <f t="shared" si="15"/>
        <v>0</v>
      </c>
    </row>
    <row r="236" spans="1:21" ht="15.75">
      <c r="A236" s="203"/>
      <c r="B236" s="204"/>
      <c r="C236" s="204"/>
      <c r="D236" s="205"/>
      <c r="E236" s="187"/>
      <c r="F236" s="200"/>
      <c r="G236" s="181"/>
      <c r="H236" s="169" t="s">
        <v>156</v>
      </c>
      <c r="I236" s="170">
        <f>ROUNDUP(G234*0.33,0)</f>
        <v>8</v>
      </c>
      <c r="J236" s="171">
        <v>39</v>
      </c>
      <c r="K236" s="171">
        <f t="shared" si="16"/>
        <v>39</v>
      </c>
      <c r="L236" s="169" t="s">
        <v>131</v>
      </c>
      <c r="M236" s="170">
        <f>Q234*0.08</f>
        <v>0.037248</v>
      </c>
      <c r="N236" s="171">
        <v>5.41</v>
      </c>
      <c r="O236" s="171">
        <f t="shared" si="17"/>
        <v>0.20151168000000003</v>
      </c>
      <c r="P236" s="182"/>
      <c r="Q236" s="170"/>
      <c r="R236" s="183">
        <v>0</v>
      </c>
      <c r="S236" s="184">
        <f t="shared" si="18"/>
        <v>0</v>
      </c>
      <c r="T236" s="185"/>
      <c r="U236" s="134">
        <f t="shared" si="15"/>
        <v>0</v>
      </c>
    </row>
    <row r="237" spans="1:21" ht="15.75">
      <c r="A237" s="203"/>
      <c r="B237" s="204"/>
      <c r="C237" s="204"/>
      <c r="D237" s="205"/>
      <c r="E237" s="187"/>
      <c r="F237" s="200"/>
      <c r="G237" s="181"/>
      <c r="H237" s="169"/>
      <c r="I237" s="170"/>
      <c r="J237" s="171">
        <v>0</v>
      </c>
      <c r="K237" s="171">
        <f t="shared" si="16"/>
        <v>0</v>
      </c>
      <c r="L237" s="169" t="s">
        <v>193</v>
      </c>
      <c r="M237" s="170">
        <f>ROUNDUP(G234/0.95,0)</f>
        <v>25</v>
      </c>
      <c r="N237" s="171">
        <v>35</v>
      </c>
      <c r="O237" s="171">
        <f t="shared" si="17"/>
        <v>875</v>
      </c>
      <c r="P237" s="182"/>
      <c r="Q237" s="170"/>
      <c r="R237" s="183">
        <v>0</v>
      </c>
      <c r="S237" s="184">
        <f t="shared" si="18"/>
        <v>0</v>
      </c>
      <c r="T237" s="185"/>
      <c r="U237" s="134">
        <f t="shared" si="15"/>
        <v>0</v>
      </c>
    </row>
    <row r="238" spans="1:21" ht="15.75">
      <c r="A238" s="203"/>
      <c r="B238" s="204"/>
      <c r="C238" s="204"/>
      <c r="D238" s="205"/>
      <c r="E238" s="187"/>
      <c r="F238" s="200"/>
      <c r="G238" s="181"/>
      <c r="H238" s="169"/>
      <c r="I238" s="170"/>
      <c r="J238" s="171">
        <v>0</v>
      </c>
      <c r="K238" s="171">
        <f t="shared" si="16"/>
        <v>0</v>
      </c>
      <c r="L238" s="169" t="s">
        <v>155</v>
      </c>
      <c r="M238" s="170">
        <f>G234*0.33</f>
        <v>7.6824</v>
      </c>
      <c r="N238" s="171">
        <v>80</v>
      </c>
      <c r="O238" s="171">
        <f t="shared" si="17"/>
        <v>614.592</v>
      </c>
      <c r="P238" s="182"/>
      <c r="Q238" s="170"/>
      <c r="R238" s="183">
        <v>0</v>
      </c>
      <c r="S238" s="184">
        <f t="shared" si="18"/>
        <v>0</v>
      </c>
      <c r="T238" s="185"/>
      <c r="U238" s="134">
        <f t="shared" si="15"/>
        <v>0</v>
      </c>
    </row>
    <row r="239" spans="1:21" ht="15.75">
      <c r="A239" s="203"/>
      <c r="B239" s="204"/>
      <c r="C239" s="204"/>
      <c r="D239" s="205"/>
      <c r="E239" s="187"/>
      <c r="F239" s="200"/>
      <c r="G239" s="181"/>
      <c r="H239" s="169"/>
      <c r="I239" s="170"/>
      <c r="J239" s="171">
        <v>0</v>
      </c>
      <c r="K239" s="171">
        <f t="shared" si="16"/>
        <v>0</v>
      </c>
      <c r="L239" s="169" t="s">
        <v>194</v>
      </c>
      <c r="M239" s="170">
        <f>G234*0.11</f>
        <v>2.5608</v>
      </c>
      <c r="N239" s="171">
        <v>80</v>
      </c>
      <c r="O239" s="171">
        <f t="shared" si="17"/>
        <v>204.864</v>
      </c>
      <c r="P239" s="182"/>
      <c r="Q239" s="170"/>
      <c r="R239" s="183">
        <v>0</v>
      </c>
      <c r="S239" s="184">
        <f t="shared" si="18"/>
        <v>0</v>
      </c>
      <c r="T239" s="188"/>
      <c r="U239" s="134">
        <f t="shared" si="15"/>
        <v>0</v>
      </c>
    </row>
    <row r="240" spans="1:21" ht="15.75">
      <c r="A240" s="197" t="s">
        <v>18</v>
      </c>
      <c r="B240" s="198">
        <v>6</v>
      </c>
      <c r="C240" s="198"/>
      <c r="D240" s="201"/>
      <c r="E240" s="189" t="s">
        <v>37</v>
      </c>
      <c r="F240" s="202"/>
      <c r="G240" s="181">
        <v>0</v>
      </c>
      <c r="H240" s="169"/>
      <c r="I240" s="170"/>
      <c r="J240" s="171">
        <v>0</v>
      </c>
      <c r="K240" s="171">
        <f t="shared" si="16"/>
        <v>0</v>
      </c>
      <c r="L240" s="169"/>
      <c r="M240" s="170"/>
      <c r="N240" s="171">
        <v>0</v>
      </c>
      <c r="O240" s="171">
        <f t="shared" si="17"/>
        <v>0</v>
      </c>
      <c r="P240" s="182"/>
      <c r="Q240" s="170"/>
      <c r="R240" s="183">
        <v>0</v>
      </c>
      <c r="S240" s="184">
        <f t="shared" si="18"/>
        <v>0</v>
      </c>
      <c r="T240" s="185"/>
      <c r="U240" s="134">
        <f t="shared" si="15"/>
        <v>0</v>
      </c>
    </row>
    <row r="241" spans="1:21" ht="15.75">
      <c r="A241" s="197" t="s">
        <v>18</v>
      </c>
      <c r="B241" s="198">
        <v>7</v>
      </c>
      <c r="C241" s="198"/>
      <c r="D241" s="201"/>
      <c r="E241" s="186" t="s">
        <v>91</v>
      </c>
      <c r="F241" s="202"/>
      <c r="G241" s="181">
        <v>0</v>
      </c>
      <c r="H241" s="169"/>
      <c r="I241" s="170"/>
      <c r="J241" s="171">
        <v>0</v>
      </c>
      <c r="K241" s="171">
        <f t="shared" si="16"/>
        <v>0</v>
      </c>
      <c r="L241" s="169"/>
      <c r="M241" s="170"/>
      <c r="N241" s="171">
        <v>0</v>
      </c>
      <c r="O241" s="171">
        <f t="shared" si="17"/>
        <v>0</v>
      </c>
      <c r="P241" s="172"/>
      <c r="Q241" s="173"/>
      <c r="R241" s="183">
        <v>0</v>
      </c>
      <c r="S241" s="184">
        <f t="shared" si="18"/>
        <v>0</v>
      </c>
      <c r="T241" s="188"/>
      <c r="U241" s="134">
        <f t="shared" si="15"/>
        <v>0</v>
      </c>
    </row>
    <row r="242" spans="1:21" ht="27.75">
      <c r="A242" s="203" t="s">
        <v>18</v>
      </c>
      <c r="B242" s="204">
        <v>7</v>
      </c>
      <c r="C242" s="204">
        <v>1</v>
      </c>
      <c r="D242" s="205">
        <v>1</v>
      </c>
      <c r="E242" s="187" t="s">
        <v>92</v>
      </c>
      <c r="F242" s="200" t="s">
        <v>35</v>
      </c>
      <c r="G242" s="181">
        <v>10.26</v>
      </c>
      <c r="H242" s="169" t="s">
        <v>129</v>
      </c>
      <c r="I242" s="170">
        <f>ROUNDUP(G242*0.5,0)</f>
        <v>6</v>
      </c>
      <c r="J242" s="171">
        <v>26</v>
      </c>
      <c r="K242" s="171">
        <f t="shared" si="16"/>
        <v>19.5</v>
      </c>
      <c r="L242" s="169" t="s">
        <v>195</v>
      </c>
      <c r="M242" s="170">
        <f>G242*1.1</f>
        <v>11.286000000000001</v>
      </c>
      <c r="N242" s="171">
        <v>52.9814</v>
      </c>
      <c r="O242" s="171">
        <f t="shared" si="17"/>
        <v>597.9480804000001</v>
      </c>
      <c r="P242" s="182"/>
      <c r="Q242" s="170"/>
      <c r="R242" s="183">
        <v>0</v>
      </c>
      <c r="S242" s="184">
        <f t="shared" si="18"/>
        <v>0</v>
      </c>
      <c r="T242" s="185">
        <f>(SUM(K242:K243,O242:O243,S242:S243)/G242)*1.02</f>
        <v>65.48483598245616</v>
      </c>
      <c r="U242" s="134">
        <f t="shared" si="15"/>
        <v>671.8744171800003</v>
      </c>
    </row>
    <row r="243" spans="1:21" ht="15.75">
      <c r="A243" s="203"/>
      <c r="B243" s="204"/>
      <c r="C243" s="204"/>
      <c r="D243" s="205"/>
      <c r="E243" s="187"/>
      <c r="F243" s="200"/>
      <c r="G243" s="181"/>
      <c r="H243" s="169" t="s">
        <v>196</v>
      </c>
      <c r="I243" s="170">
        <f>ROUNDUP(G242*0.25,0)</f>
        <v>3</v>
      </c>
      <c r="J243" s="171">
        <v>52</v>
      </c>
      <c r="K243" s="171">
        <f t="shared" si="16"/>
        <v>19.5</v>
      </c>
      <c r="L243" s="169" t="s">
        <v>197</v>
      </c>
      <c r="M243" s="170">
        <f>G242*0.4</f>
        <v>4.104</v>
      </c>
      <c r="N243" s="171">
        <v>5.300275</v>
      </c>
      <c r="O243" s="171">
        <f t="shared" si="17"/>
        <v>21.752328600000002</v>
      </c>
      <c r="P243" s="182"/>
      <c r="Q243" s="170"/>
      <c r="R243" s="183">
        <v>0</v>
      </c>
      <c r="S243" s="184">
        <f t="shared" si="18"/>
        <v>0</v>
      </c>
      <c r="T243" s="185"/>
      <c r="U243" s="134">
        <f t="shared" si="15"/>
        <v>0</v>
      </c>
    </row>
    <row r="244" spans="1:21" ht="15.75">
      <c r="A244" s="197" t="s">
        <v>18</v>
      </c>
      <c r="B244" s="198">
        <v>7</v>
      </c>
      <c r="C244" s="198"/>
      <c r="D244" s="201"/>
      <c r="E244" s="189" t="s">
        <v>37</v>
      </c>
      <c r="F244" s="202"/>
      <c r="G244" s="181">
        <v>0</v>
      </c>
      <c r="H244" s="169"/>
      <c r="I244" s="170"/>
      <c r="J244" s="171">
        <v>0</v>
      </c>
      <c r="K244" s="171">
        <f t="shared" si="16"/>
        <v>0</v>
      </c>
      <c r="L244" s="169"/>
      <c r="M244" s="170"/>
      <c r="N244" s="171">
        <v>0</v>
      </c>
      <c r="O244" s="171">
        <f t="shared" si="17"/>
        <v>0</v>
      </c>
      <c r="P244" s="182"/>
      <c r="Q244" s="170"/>
      <c r="R244" s="183">
        <v>0</v>
      </c>
      <c r="S244" s="184">
        <f t="shared" si="18"/>
        <v>0</v>
      </c>
      <c r="T244" s="185"/>
      <c r="U244" s="134">
        <f t="shared" si="15"/>
        <v>0</v>
      </c>
    </row>
    <row r="245" spans="1:21" ht="15.75">
      <c r="A245" s="197" t="s">
        <v>18</v>
      </c>
      <c r="B245" s="198">
        <v>8</v>
      </c>
      <c r="C245" s="198"/>
      <c r="D245" s="201"/>
      <c r="E245" s="186" t="s">
        <v>93</v>
      </c>
      <c r="F245" s="202"/>
      <c r="G245" s="181">
        <v>0</v>
      </c>
      <c r="H245" s="169"/>
      <c r="I245" s="170"/>
      <c r="J245" s="171">
        <v>0</v>
      </c>
      <c r="K245" s="171">
        <f t="shared" si="16"/>
        <v>0</v>
      </c>
      <c r="L245" s="169"/>
      <c r="M245" s="170"/>
      <c r="N245" s="171">
        <v>0</v>
      </c>
      <c r="O245" s="171">
        <f t="shared" si="17"/>
        <v>0</v>
      </c>
      <c r="P245" s="182"/>
      <c r="Q245" s="170"/>
      <c r="R245" s="183">
        <v>0</v>
      </c>
      <c r="S245" s="184">
        <f t="shared" si="18"/>
        <v>0</v>
      </c>
      <c r="T245" s="185"/>
      <c r="U245" s="134">
        <f t="shared" si="15"/>
        <v>0</v>
      </c>
    </row>
    <row r="246" spans="1:21" ht="27.75">
      <c r="A246" s="203" t="s">
        <v>18</v>
      </c>
      <c r="B246" s="204">
        <v>8</v>
      </c>
      <c r="C246" s="204">
        <v>1</v>
      </c>
      <c r="D246" s="205"/>
      <c r="E246" s="193" t="s">
        <v>438</v>
      </c>
      <c r="F246" s="200"/>
      <c r="G246" s="181">
        <v>0</v>
      </c>
      <c r="H246" s="169"/>
      <c r="I246" s="170"/>
      <c r="J246" s="171">
        <v>0</v>
      </c>
      <c r="K246" s="171">
        <f t="shared" si="16"/>
        <v>0</v>
      </c>
      <c r="L246" s="169"/>
      <c r="M246" s="170"/>
      <c r="N246" s="171">
        <v>0</v>
      </c>
      <c r="O246" s="171">
        <f t="shared" si="17"/>
        <v>0</v>
      </c>
      <c r="P246" s="182"/>
      <c r="Q246" s="170"/>
      <c r="R246" s="183">
        <v>0</v>
      </c>
      <c r="S246" s="184">
        <f t="shared" si="18"/>
        <v>0</v>
      </c>
      <c r="T246" s="185"/>
      <c r="U246" s="134">
        <f t="shared" si="15"/>
        <v>0</v>
      </c>
    </row>
    <row r="247" spans="1:21" s="109" customFormat="1" ht="15.75">
      <c r="A247" s="203" t="s">
        <v>18</v>
      </c>
      <c r="B247" s="204">
        <v>8</v>
      </c>
      <c r="C247" s="204">
        <v>1</v>
      </c>
      <c r="D247" s="205">
        <v>1</v>
      </c>
      <c r="E247" s="187" t="s">
        <v>94</v>
      </c>
      <c r="F247" s="200" t="s">
        <v>35</v>
      </c>
      <c r="G247" s="181">
        <v>324.03</v>
      </c>
      <c r="H247" s="169" t="s">
        <v>129</v>
      </c>
      <c r="I247" s="170">
        <f>ROUNDUP(G247*0.33,0)</f>
        <v>107</v>
      </c>
      <c r="J247" s="171">
        <v>26</v>
      </c>
      <c r="K247" s="171">
        <f t="shared" si="16"/>
        <v>347.75</v>
      </c>
      <c r="L247" s="169" t="s">
        <v>198</v>
      </c>
      <c r="M247" s="170">
        <f>G247*0.07</f>
        <v>22.682100000000002</v>
      </c>
      <c r="N247" s="171">
        <v>51.5511</v>
      </c>
      <c r="O247" s="171">
        <f t="shared" si="17"/>
        <v>1169.28720531</v>
      </c>
      <c r="P247" s="182"/>
      <c r="Q247" s="170"/>
      <c r="R247" s="183">
        <v>0</v>
      </c>
      <c r="S247" s="184">
        <f t="shared" si="18"/>
        <v>0</v>
      </c>
      <c r="T247" s="185">
        <f>(SUM(K247:K249,O247:O249,S247:S249)/G247)*1.02</f>
        <v>8.144187446120267</v>
      </c>
      <c r="U247" s="134">
        <f t="shared" si="15"/>
        <v>2638.9610581663496</v>
      </c>
    </row>
    <row r="248" spans="1:21" s="109" customFormat="1" ht="15.75">
      <c r="A248" s="203"/>
      <c r="B248" s="204"/>
      <c r="C248" s="204"/>
      <c r="D248" s="205"/>
      <c r="E248" s="187"/>
      <c r="F248" s="200"/>
      <c r="G248" s="181"/>
      <c r="H248" s="169" t="s">
        <v>179</v>
      </c>
      <c r="I248" s="170">
        <f>ROUNDUP(G247*0.33,0)</f>
        <v>107</v>
      </c>
      <c r="J248" s="171">
        <v>39</v>
      </c>
      <c r="K248" s="171">
        <f t="shared" si="16"/>
        <v>521.625</v>
      </c>
      <c r="L248" s="169" t="s">
        <v>199</v>
      </c>
      <c r="M248" s="170">
        <f>G247*0.4</f>
        <v>129.612</v>
      </c>
      <c r="N248" s="171">
        <v>4.080275</v>
      </c>
      <c r="O248" s="171">
        <f t="shared" si="17"/>
        <v>528.8526033</v>
      </c>
      <c r="P248" s="182"/>
      <c r="Q248" s="170"/>
      <c r="R248" s="183">
        <v>0</v>
      </c>
      <c r="S248" s="184">
        <f t="shared" si="18"/>
        <v>0</v>
      </c>
      <c r="T248" s="185"/>
      <c r="U248" s="134">
        <f t="shared" si="15"/>
        <v>0</v>
      </c>
    </row>
    <row r="249" spans="1:21" s="109" customFormat="1" ht="15.75">
      <c r="A249" s="203"/>
      <c r="B249" s="204"/>
      <c r="C249" s="204"/>
      <c r="D249" s="205"/>
      <c r="E249" s="187"/>
      <c r="F249" s="200"/>
      <c r="G249" s="181"/>
      <c r="H249" s="169"/>
      <c r="I249" s="170"/>
      <c r="J249" s="171">
        <v>0</v>
      </c>
      <c r="K249" s="171">
        <f t="shared" si="16"/>
        <v>0</v>
      </c>
      <c r="L249" s="169" t="s">
        <v>200</v>
      </c>
      <c r="M249" s="170">
        <f>G247*0.01</f>
        <v>3.2403</v>
      </c>
      <c r="N249" s="171">
        <v>6.080275</v>
      </c>
      <c r="O249" s="171">
        <f t="shared" si="17"/>
        <v>19.7019150825</v>
      </c>
      <c r="P249" s="182"/>
      <c r="Q249" s="170"/>
      <c r="R249" s="183">
        <v>0</v>
      </c>
      <c r="S249" s="184">
        <f t="shared" si="18"/>
        <v>0</v>
      </c>
      <c r="T249" s="185"/>
      <c r="U249" s="134">
        <f t="shared" si="15"/>
        <v>0</v>
      </c>
    </row>
    <row r="250" spans="1:21" ht="15.75">
      <c r="A250" s="203" t="s">
        <v>18</v>
      </c>
      <c r="B250" s="204">
        <v>8</v>
      </c>
      <c r="C250" s="204">
        <v>1</v>
      </c>
      <c r="D250" s="205">
        <v>2</v>
      </c>
      <c r="E250" s="187" t="s">
        <v>95</v>
      </c>
      <c r="F250" s="200" t="s">
        <v>35</v>
      </c>
      <c r="G250" s="181">
        <v>191.37</v>
      </c>
      <c r="H250" s="169" t="s">
        <v>129</v>
      </c>
      <c r="I250" s="170">
        <f>ROUNDUP(G250*0.33,0)</f>
        <v>64</v>
      </c>
      <c r="J250" s="171">
        <v>26</v>
      </c>
      <c r="K250" s="171">
        <f t="shared" si="16"/>
        <v>208</v>
      </c>
      <c r="L250" s="169" t="s">
        <v>198</v>
      </c>
      <c r="M250" s="170">
        <f>G250*0.07</f>
        <v>13.395900000000001</v>
      </c>
      <c r="N250" s="171">
        <v>51.5511</v>
      </c>
      <c r="O250" s="171">
        <f t="shared" si="17"/>
        <v>690.57338049</v>
      </c>
      <c r="P250" s="172"/>
      <c r="Q250" s="173"/>
      <c r="R250" s="183">
        <v>0</v>
      </c>
      <c r="S250" s="184">
        <f t="shared" si="18"/>
        <v>0</v>
      </c>
      <c r="T250" s="185">
        <f>(SUM(K250:K252,O250:O252,S250:S252)/G250)*1.02</f>
        <v>8.179113838776455</v>
      </c>
      <c r="U250" s="134">
        <f t="shared" si="15"/>
        <v>1565.2370153266504</v>
      </c>
    </row>
    <row r="251" spans="1:21" ht="15.75">
      <c r="A251" s="203"/>
      <c r="B251" s="204"/>
      <c r="C251" s="204"/>
      <c r="D251" s="205"/>
      <c r="E251" s="187"/>
      <c r="F251" s="200"/>
      <c r="G251" s="181"/>
      <c r="H251" s="169" t="s">
        <v>179</v>
      </c>
      <c r="I251" s="170">
        <f>ROUNDUP(G250*0.33,0)</f>
        <v>64</v>
      </c>
      <c r="J251" s="171">
        <v>39</v>
      </c>
      <c r="K251" s="171">
        <f t="shared" si="16"/>
        <v>312</v>
      </c>
      <c r="L251" s="169" t="s">
        <v>199</v>
      </c>
      <c r="M251" s="170">
        <f>G250*0.4</f>
        <v>76.548</v>
      </c>
      <c r="N251" s="171">
        <v>4.080275</v>
      </c>
      <c r="O251" s="171">
        <f t="shared" si="17"/>
        <v>312.3368907</v>
      </c>
      <c r="P251" s="172"/>
      <c r="Q251" s="173"/>
      <c r="R251" s="183">
        <v>0</v>
      </c>
      <c r="S251" s="184">
        <f t="shared" si="18"/>
        <v>0</v>
      </c>
      <c r="T251" s="185"/>
      <c r="U251" s="134">
        <f t="shared" si="15"/>
        <v>0</v>
      </c>
    </row>
    <row r="252" spans="1:21" ht="15.75">
      <c r="A252" s="203"/>
      <c r="B252" s="204"/>
      <c r="C252" s="204"/>
      <c r="D252" s="205"/>
      <c r="E252" s="187"/>
      <c r="F252" s="200"/>
      <c r="G252" s="181"/>
      <c r="H252" s="169"/>
      <c r="I252" s="170"/>
      <c r="J252" s="171">
        <v>0</v>
      </c>
      <c r="K252" s="171">
        <f t="shared" si="16"/>
        <v>0</v>
      </c>
      <c r="L252" s="169" t="s">
        <v>200</v>
      </c>
      <c r="M252" s="170">
        <f>G250*0.01</f>
        <v>1.9137000000000002</v>
      </c>
      <c r="N252" s="171">
        <v>6.080275</v>
      </c>
      <c r="O252" s="171">
        <f t="shared" si="17"/>
        <v>11.635822267500002</v>
      </c>
      <c r="P252" s="172"/>
      <c r="Q252" s="173"/>
      <c r="R252" s="183">
        <v>0</v>
      </c>
      <c r="S252" s="184">
        <f t="shared" si="18"/>
        <v>0</v>
      </c>
      <c r="T252" s="188"/>
      <c r="U252" s="134">
        <f t="shared" si="15"/>
        <v>0</v>
      </c>
    </row>
    <row r="253" spans="1:21" ht="15.75">
      <c r="A253" s="203" t="s">
        <v>18</v>
      </c>
      <c r="B253" s="204">
        <v>8</v>
      </c>
      <c r="C253" s="204">
        <v>1</v>
      </c>
      <c r="D253" s="205">
        <v>3</v>
      </c>
      <c r="E253" s="187" t="s">
        <v>96</v>
      </c>
      <c r="F253" s="200" t="s">
        <v>35</v>
      </c>
      <c r="G253" s="181">
        <v>135.3</v>
      </c>
      <c r="H253" s="169" t="s">
        <v>129</v>
      </c>
      <c r="I253" s="170">
        <f>ROUNDUP(G253*0.33,0)</f>
        <v>45</v>
      </c>
      <c r="J253" s="171">
        <v>26</v>
      </c>
      <c r="K253" s="171">
        <f t="shared" si="16"/>
        <v>146.25</v>
      </c>
      <c r="L253" s="169" t="s">
        <v>198</v>
      </c>
      <c r="M253" s="170">
        <f>G253*0.07</f>
        <v>9.471000000000002</v>
      </c>
      <c r="N253" s="171">
        <v>51.5511</v>
      </c>
      <c r="O253" s="171">
        <f t="shared" si="17"/>
        <v>488.2404681000001</v>
      </c>
      <c r="P253" s="182"/>
      <c r="Q253" s="170"/>
      <c r="R253" s="183">
        <v>0</v>
      </c>
      <c r="S253" s="184">
        <f t="shared" si="18"/>
        <v>0</v>
      </c>
      <c r="T253" s="185">
        <f>(SUM(K253:K255,O253:O255,S253:S255)/G253)*1.02</f>
        <v>8.163894267838138</v>
      </c>
      <c r="U253" s="134">
        <f t="shared" si="15"/>
        <v>1104.5748944385002</v>
      </c>
    </row>
    <row r="254" spans="1:21" ht="15.75">
      <c r="A254" s="203"/>
      <c r="B254" s="204"/>
      <c r="C254" s="204"/>
      <c r="D254" s="205"/>
      <c r="E254" s="187"/>
      <c r="F254" s="200"/>
      <c r="G254" s="181"/>
      <c r="H254" s="169" t="s">
        <v>179</v>
      </c>
      <c r="I254" s="170">
        <f>ROUNDUP(G253*0.33,0)</f>
        <v>45</v>
      </c>
      <c r="J254" s="171">
        <v>39</v>
      </c>
      <c r="K254" s="171">
        <f t="shared" si="16"/>
        <v>219.375</v>
      </c>
      <c r="L254" s="169" t="s">
        <v>199</v>
      </c>
      <c r="M254" s="170">
        <f>G253*0.4</f>
        <v>54.120000000000005</v>
      </c>
      <c r="N254" s="171">
        <v>4.080275</v>
      </c>
      <c r="O254" s="171">
        <f t="shared" si="17"/>
        <v>220.82448300000004</v>
      </c>
      <c r="P254" s="182"/>
      <c r="Q254" s="170"/>
      <c r="R254" s="183">
        <v>0</v>
      </c>
      <c r="S254" s="184">
        <f t="shared" si="18"/>
        <v>0</v>
      </c>
      <c r="T254" s="185"/>
      <c r="U254" s="134">
        <f t="shared" si="15"/>
        <v>0</v>
      </c>
    </row>
    <row r="255" spans="1:21" ht="15.75">
      <c r="A255" s="203"/>
      <c r="B255" s="204"/>
      <c r="C255" s="204"/>
      <c r="D255" s="205"/>
      <c r="E255" s="187"/>
      <c r="F255" s="200"/>
      <c r="G255" s="181"/>
      <c r="H255" s="169"/>
      <c r="I255" s="170"/>
      <c r="J255" s="171">
        <v>0</v>
      </c>
      <c r="K255" s="171">
        <f t="shared" si="16"/>
        <v>0</v>
      </c>
      <c r="L255" s="169" t="s">
        <v>200</v>
      </c>
      <c r="M255" s="170">
        <f>G253*0.01</f>
        <v>1.3530000000000002</v>
      </c>
      <c r="N255" s="171">
        <v>6.080275</v>
      </c>
      <c r="O255" s="171">
        <f t="shared" si="17"/>
        <v>8.226612075000002</v>
      </c>
      <c r="P255" s="182"/>
      <c r="Q255" s="170"/>
      <c r="R255" s="183">
        <v>0</v>
      </c>
      <c r="S255" s="184">
        <f t="shared" si="18"/>
        <v>0</v>
      </c>
      <c r="T255" s="185"/>
      <c r="U255" s="134">
        <f t="shared" si="15"/>
        <v>0</v>
      </c>
    </row>
    <row r="256" spans="1:21" ht="15.75">
      <c r="A256" s="197" t="s">
        <v>18</v>
      </c>
      <c r="B256" s="198">
        <v>8</v>
      </c>
      <c r="C256" s="198"/>
      <c r="D256" s="201"/>
      <c r="E256" s="189" t="s">
        <v>37</v>
      </c>
      <c r="F256" s="202"/>
      <c r="G256" s="181">
        <v>0</v>
      </c>
      <c r="H256" s="169"/>
      <c r="I256" s="170"/>
      <c r="J256" s="171">
        <v>0</v>
      </c>
      <c r="K256" s="171">
        <f t="shared" si="16"/>
        <v>0</v>
      </c>
      <c r="L256" s="169"/>
      <c r="M256" s="170"/>
      <c r="N256" s="171">
        <v>0</v>
      </c>
      <c r="O256" s="171">
        <f t="shared" si="17"/>
        <v>0</v>
      </c>
      <c r="P256" s="182"/>
      <c r="Q256" s="170"/>
      <c r="R256" s="183">
        <v>0</v>
      </c>
      <c r="S256" s="184">
        <f t="shared" si="18"/>
        <v>0</v>
      </c>
      <c r="T256" s="185"/>
      <c r="U256" s="134">
        <f t="shared" si="15"/>
        <v>0</v>
      </c>
    </row>
    <row r="257" spans="1:21" ht="15.75">
      <c r="A257" s="197" t="s">
        <v>18</v>
      </c>
      <c r="B257" s="198">
        <v>9</v>
      </c>
      <c r="C257" s="198"/>
      <c r="D257" s="201"/>
      <c r="E257" s="186" t="s">
        <v>97</v>
      </c>
      <c r="F257" s="202"/>
      <c r="G257" s="181">
        <v>0</v>
      </c>
      <c r="H257" s="169"/>
      <c r="I257" s="170"/>
      <c r="J257" s="171">
        <v>0</v>
      </c>
      <c r="K257" s="171">
        <f t="shared" si="16"/>
        <v>0</v>
      </c>
      <c r="L257" s="169"/>
      <c r="M257" s="170"/>
      <c r="N257" s="171">
        <v>0</v>
      </c>
      <c r="O257" s="171">
        <f t="shared" si="17"/>
        <v>0</v>
      </c>
      <c r="P257" s="182"/>
      <c r="Q257" s="170"/>
      <c r="R257" s="183">
        <v>0</v>
      </c>
      <c r="S257" s="184">
        <f t="shared" si="18"/>
        <v>0</v>
      </c>
      <c r="T257" s="188"/>
      <c r="U257" s="134">
        <f t="shared" si="15"/>
        <v>0</v>
      </c>
    </row>
    <row r="258" spans="1:21" s="109" customFormat="1" ht="15.75">
      <c r="A258" s="197" t="s">
        <v>18</v>
      </c>
      <c r="B258" s="198">
        <v>9</v>
      </c>
      <c r="C258" s="198"/>
      <c r="D258" s="201"/>
      <c r="E258" s="186" t="s">
        <v>98</v>
      </c>
      <c r="F258" s="202"/>
      <c r="G258" s="181">
        <v>0</v>
      </c>
      <c r="H258" s="169"/>
      <c r="I258" s="170"/>
      <c r="J258" s="171">
        <v>0</v>
      </c>
      <c r="K258" s="171">
        <f t="shared" si="16"/>
        <v>0</v>
      </c>
      <c r="L258" s="169"/>
      <c r="M258" s="170"/>
      <c r="N258" s="171">
        <v>0</v>
      </c>
      <c r="O258" s="171">
        <f t="shared" si="17"/>
        <v>0</v>
      </c>
      <c r="P258" s="182"/>
      <c r="Q258" s="170"/>
      <c r="R258" s="183">
        <v>0</v>
      </c>
      <c r="S258" s="184">
        <f t="shared" si="18"/>
        <v>0</v>
      </c>
      <c r="T258" s="185"/>
      <c r="U258" s="134">
        <f t="shared" si="15"/>
        <v>0</v>
      </c>
    </row>
    <row r="259" spans="1:21" s="109" customFormat="1" ht="54">
      <c r="A259" s="203" t="s">
        <v>18</v>
      </c>
      <c r="B259" s="204">
        <v>9</v>
      </c>
      <c r="C259" s="204">
        <v>1</v>
      </c>
      <c r="D259" s="205">
        <v>1</v>
      </c>
      <c r="E259" s="223" t="s">
        <v>465</v>
      </c>
      <c r="F259" s="200" t="s">
        <v>73</v>
      </c>
      <c r="G259" s="181">
        <v>2</v>
      </c>
      <c r="H259" s="169" t="s">
        <v>201</v>
      </c>
      <c r="I259" s="170">
        <f>ROUNDUP(G259*0.5,0)</f>
        <v>1</v>
      </c>
      <c r="J259" s="171">
        <v>52</v>
      </c>
      <c r="K259" s="171">
        <f t="shared" si="16"/>
        <v>6.5</v>
      </c>
      <c r="L259" s="169" t="s">
        <v>202</v>
      </c>
      <c r="M259" s="170">
        <f>G259</f>
        <v>2</v>
      </c>
      <c r="N259" s="171">
        <v>603.705</v>
      </c>
      <c r="O259" s="171">
        <f t="shared" si="17"/>
        <v>1207.41</v>
      </c>
      <c r="P259" s="182"/>
      <c r="Q259" s="170"/>
      <c r="R259" s="183">
        <v>0</v>
      </c>
      <c r="S259" s="184">
        <f t="shared" si="18"/>
        <v>0</v>
      </c>
      <c r="T259" s="185">
        <f>(SUM(K259:K262,O259:O262,S259:S262)/G259)*1.02</f>
        <v>712.5516</v>
      </c>
      <c r="U259" s="134">
        <f t="shared" si="15"/>
        <v>1425.1032</v>
      </c>
    </row>
    <row r="260" spans="1:21" s="109" customFormat="1" ht="15.75">
      <c r="A260" s="203"/>
      <c r="B260" s="204"/>
      <c r="C260" s="204"/>
      <c r="D260" s="205"/>
      <c r="E260" s="223"/>
      <c r="F260" s="200"/>
      <c r="G260" s="181"/>
      <c r="H260" s="169" t="s">
        <v>129</v>
      </c>
      <c r="I260" s="170">
        <f>ROUNDUP(G259*0.5,0)</f>
        <v>1</v>
      </c>
      <c r="J260" s="171">
        <v>26</v>
      </c>
      <c r="K260" s="171">
        <f t="shared" si="16"/>
        <v>3.25</v>
      </c>
      <c r="L260" s="169" t="s">
        <v>203</v>
      </c>
      <c r="M260" s="170">
        <f>G259*2</f>
        <v>4</v>
      </c>
      <c r="N260" s="171">
        <v>15</v>
      </c>
      <c r="O260" s="171">
        <f t="shared" si="17"/>
        <v>60</v>
      </c>
      <c r="P260" s="182"/>
      <c r="Q260" s="170"/>
      <c r="R260" s="183">
        <v>0</v>
      </c>
      <c r="S260" s="184">
        <f t="shared" si="18"/>
        <v>0</v>
      </c>
      <c r="T260" s="185"/>
      <c r="U260" s="134">
        <f t="shared" si="15"/>
        <v>0</v>
      </c>
    </row>
    <row r="261" spans="1:21" s="109" customFormat="1" ht="15.75">
      <c r="A261" s="203"/>
      <c r="B261" s="204"/>
      <c r="C261" s="204"/>
      <c r="D261" s="205"/>
      <c r="E261" s="223"/>
      <c r="F261" s="200"/>
      <c r="G261" s="181"/>
      <c r="H261" s="169"/>
      <c r="I261" s="170"/>
      <c r="J261" s="171">
        <v>0</v>
      </c>
      <c r="K261" s="171">
        <f t="shared" si="16"/>
        <v>0</v>
      </c>
      <c r="L261" s="169" t="s">
        <v>204</v>
      </c>
      <c r="M261" s="170">
        <f>G259*2</f>
        <v>4</v>
      </c>
      <c r="N261" s="171">
        <v>30</v>
      </c>
      <c r="O261" s="171">
        <f t="shared" si="17"/>
        <v>120</v>
      </c>
      <c r="P261" s="182"/>
      <c r="Q261" s="170"/>
      <c r="R261" s="183">
        <v>0</v>
      </c>
      <c r="S261" s="184">
        <f t="shared" si="18"/>
        <v>0</v>
      </c>
      <c r="T261" s="185"/>
      <c r="U261" s="134">
        <f t="shared" si="15"/>
        <v>0</v>
      </c>
    </row>
    <row r="262" spans="1:21" s="109" customFormat="1" ht="15.75">
      <c r="A262" s="203"/>
      <c r="B262" s="204"/>
      <c r="C262" s="204"/>
      <c r="D262" s="205"/>
      <c r="E262" s="223"/>
      <c r="F262" s="200"/>
      <c r="G262" s="181"/>
      <c r="H262" s="169"/>
      <c r="I262" s="170"/>
      <c r="J262" s="171">
        <v>0</v>
      </c>
      <c r="K262" s="171">
        <f t="shared" si="16"/>
        <v>0</v>
      </c>
      <c r="L262" s="169" t="s">
        <v>205</v>
      </c>
      <c r="M262" s="170">
        <f>G259</f>
        <v>2</v>
      </c>
      <c r="N262" s="171">
        <v>0</v>
      </c>
      <c r="O262" s="171">
        <f t="shared" si="17"/>
        <v>0</v>
      </c>
      <c r="P262" s="182"/>
      <c r="Q262" s="170"/>
      <c r="R262" s="183">
        <v>0</v>
      </c>
      <c r="S262" s="184">
        <f t="shared" si="18"/>
        <v>0</v>
      </c>
      <c r="T262" s="176"/>
      <c r="U262" s="134">
        <f t="shared" si="15"/>
        <v>0</v>
      </c>
    </row>
    <row r="263" spans="1:21" ht="40.5">
      <c r="A263" s="203" t="s">
        <v>18</v>
      </c>
      <c r="B263" s="204">
        <v>9</v>
      </c>
      <c r="C263" s="204">
        <v>1</v>
      </c>
      <c r="D263" s="205">
        <v>2</v>
      </c>
      <c r="E263" s="187" t="s">
        <v>440</v>
      </c>
      <c r="F263" s="200" t="s">
        <v>73</v>
      </c>
      <c r="G263" s="181">
        <v>2</v>
      </c>
      <c r="H263" s="169" t="s">
        <v>201</v>
      </c>
      <c r="I263" s="170">
        <f>ROUNDUP(G263*0.5,0)</f>
        <v>1</v>
      </c>
      <c r="J263" s="171">
        <v>52</v>
      </c>
      <c r="K263" s="171">
        <f t="shared" si="16"/>
        <v>6.5</v>
      </c>
      <c r="L263" s="169" t="s">
        <v>206</v>
      </c>
      <c r="M263" s="170">
        <f>G263</f>
        <v>2</v>
      </c>
      <c r="N263" s="171">
        <v>906.175</v>
      </c>
      <c r="O263" s="171">
        <f t="shared" si="17"/>
        <v>1812.35</v>
      </c>
      <c r="P263" s="182"/>
      <c r="Q263" s="170"/>
      <c r="R263" s="183">
        <v>0</v>
      </c>
      <c r="S263" s="184">
        <f t="shared" si="18"/>
        <v>0</v>
      </c>
      <c r="T263" s="185">
        <f>(SUM(K263:K264,O263:O264,S263:S264)/G263)*1.02</f>
        <v>944.571</v>
      </c>
      <c r="U263" s="134">
        <f t="shared" si="15"/>
        <v>1889.142</v>
      </c>
    </row>
    <row r="264" spans="1:21" ht="15.75">
      <c r="A264" s="203"/>
      <c r="B264" s="204"/>
      <c r="C264" s="204"/>
      <c r="D264" s="205"/>
      <c r="E264" s="187"/>
      <c r="F264" s="200"/>
      <c r="G264" s="181"/>
      <c r="H264" s="169" t="s">
        <v>129</v>
      </c>
      <c r="I264" s="170">
        <f>ROUNDUP(G263*0.5,0)</f>
        <v>1</v>
      </c>
      <c r="J264" s="171">
        <v>26</v>
      </c>
      <c r="K264" s="171">
        <f t="shared" si="16"/>
        <v>3.25</v>
      </c>
      <c r="L264" s="169" t="s">
        <v>203</v>
      </c>
      <c r="M264" s="170">
        <f>G263*1</f>
        <v>2</v>
      </c>
      <c r="N264" s="171">
        <v>15</v>
      </c>
      <c r="O264" s="171">
        <f t="shared" si="17"/>
        <v>30</v>
      </c>
      <c r="P264" s="182"/>
      <c r="Q264" s="170"/>
      <c r="R264" s="183">
        <v>0</v>
      </c>
      <c r="S264" s="184">
        <f t="shared" si="18"/>
        <v>0</v>
      </c>
      <c r="T264" s="188"/>
      <c r="U264" s="134">
        <f t="shared" si="15"/>
        <v>0</v>
      </c>
    </row>
    <row r="265" spans="1:21" s="109" customFormat="1" ht="40.5">
      <c r="A265" s="203" t="s">
        <v>18</v>
      </c>
      <c r="B265" s="204">
        <v>9</v>
      </c>
      <c r="C265" s="204">
        <v>1</v>
      </c>
      <c r="D265" s="205">
        <v>3</v>
      </c>
      <c r="E265" s="187" t="s">
        <v>441</v>
      </c>
      <c r="F265" s="200" t="s">
        <v>73</v>
      </c>
      <c r="G265" s="181">
        <v>2</v>
      </c>
      <c r="H265" s="169"/>
      <c r="I265" s="170"/>
      <c r="J265" s="171">
        <v>0</v>
      </c>
      <c r="K265" s="171">
        <f t="shared" si="16"/>
        <v>0</v>
      </c>
      <c r="L265" s="169" t="s">
        <v>207</v>
      </c>
      <c r="M265" s="170">
        <f>G265</f>
        <v>2</v>
      </c>
      <c r="N265" s="171">
        <v>35</v>
      </c>
      <c r="O265" s="171">
        <f t="shared" si="17"/>
        <v>70</v>
      </c>
      <c r="P265" s="182"/>
      <c r="Q265" s="170"/>
      <c r="R265" s="183">
        <v>0</v>
      </c>
      <c r="S265" s="184">
        <f t="shared" si="18"/>
        <v>0</v>
      </c>
      <c r="T265" s="185">
        <f>(SUM(K265,O265,S265)/G265)*1.02</f>
        <v>35.7</v>
      </c>
      <c r="U265" s="134">
        <f t="shared" si="15"/>
        <v>71.4</v>
      </c>
    </row>
    <row r="266" spans="1:21" ht="54">
      <c r="A266" s="203" t="s">
        <v>18</v>
      </c>
      <c r="B266" s="204">
        <v>9</v>
      </c>
      <c r="C266" s="204">
        <v>1</v>
      </c>
      <c r="D266" s="205">
        <v>4</v>
      </c>
      <c r="E266" s="193" t="s">
        <v>442</v>
      </c>
      <c r="F266" s="200" t="s">
        <v>73</v>
      </c>
      <c r="G266" s="181">
        <v>4</v>
      </c>
      <c r="H266" s="169"/>
      <c r="I266" s="170"/>
      <c r="J266" s="171">
        <v>0</v>
      </c>
      <c r="K266" s="171">
        <f t="shared" si="16"/>
        <v>0</v>
      </c>
      <c r="L266" s="169" t="s">
        <v>208</v>
      </c>
      <c r="M266" s="170">
        <f>G266</f>
        <v>4</v>
      </c>
      <c r="N266" s="171">
        <v>35</v>
      </c>
      <c r="O266" s="171">
        <f t="shared" si="17"/>
        <v>140</v>
      </c>
      <c r="P266" s="182"/>
      <c r="Q266" s="170"/>
      <c r="R266" s="183">
        <v>0</v>
      </c>
      <c r="S266" s="184">
        <f t="shared" si="18"/>
        <v>0</v>
      </c>
      <c r="T266" s="185">
        <f>(SUM(K266,O266,S266)/G266)*1.02</f>
        <v>35.7</v>
      </c>
      <c r="U266" s="134">
        <f aca="true" t="shared" si="19" ref="U266:U315">T266*G266</f>
        <v>142.8</v>
      </c>
    </row>
    <row r="267" spans="1:21" ht="40.5">
      <c r="A267" s="203" t="s">
        <v>18</v>
      </c>
      <c r="B267" s="204">
        <v>9</v>
      </c>
      <c r="C267" s="204">
        <v>1</v>
      </c>
      <c r="D267" s="205">
        <v>5</v>
      </c>
      <c r="E267" s="193" t="s">
        <v>209</v>
      </c>
      <c r="F267" s="200" t="s">
        <v>73</v>
      </c>
      <c r="G267" s="181">
        <v>2</v>
      </c>
      <c r="H267" s="169" t="s">
        <v>201</v>
      </c>
      <c r="I267" s="170">
        <f>ROUNDUP(G267*0.5,0)</f>
        <v>1</v>
      </c>
      <c r="J267" s="171">
        <v>52</v>
      </c>
      <c r="K267" s="171">
        <f t="shared" si="16"/>
        <v>6.5</v>
      </c>
      <c r="L267" s="192" t="s">
        <v>210</v>
      </c>
      <c r="M267" s="170">
        <f>G267</f>
        <v>2</v>
      </c>
      <c r="N267" s="171">
        <v>600</v>
      </c>
      <c r="O267" s="171">
        <f t="shared" si="17"/>
        <v>1200</v>
      </c>
      <c r="P267" s="182"/>
      <c r="Q267" s="170"/>
      <c r="R267" s="183">
        <v>0</v>
      </c>
      <c r="S267" s="184">
        <f t="shared" si="18"/>
        <v>0</v>
      </c>
      <c r="T267" s="185">
        <f>(SUM(K267:K268,O267:O268,S267:S268)/G267)*1.02</f>
        <v>688.3725000000001</v>
      </c>
      <c r="U267" s="134">
        <f t="shared" si="19"/>
        <v>1376.7450000000001</v>
      </c>
    </row>
    <row r="268" spans="1:21" ht="15.75">
      <c r="A268" s="203"/>
      <c r="B268" s="204"/>
      <c r="C268" s="204"/>
      <c r="D268" s="205"/>
      <c r="E268" s="193"/>
      <c r="F268" s="200"/>
      <c r="G268" s="181"/>
      <c r="H268" s="169" t="s">
        <v>129</v>
      </c>
      <c r="I268" s="170">
        <f>ROUNDUP(G267*0.5,0)</f>
        <v>1</v>
      </c>
      <c r="J268" s="171">
        <v>26</v>
      </c>
      <c r="K268" s="171">
        <f t="shared" si="16"/>
        <v>3.25</v>
      </c>
      <c r="L268" s="169" t="s">
        <v>211</v>
      </c>
      <c r="M268" s="170">
        <f>G267</f>
        <v>2</v>
      </c>
      <c r="N268" s="171">
        <v>70</v>
      </c>
      <c r="O268" s="171">
        <f t="shared" si="17"/>
        <v>140</v>
      </c>
      <c r="P268" s="182"/>
      <c r="Q268" s="170"/>
      <c r="R268" s="183">
        <v>0</v>
      </c>
      <c r="S268" s="184">
        <f t="shared" si="18"/>
        <v>0</v>
      </c>
      <c r="T268" s="185"/>
      <c r="U268" s="134">
        <f t="shared" si="19"/>
        <v>0</v>
      </c>
    </row>
    <row r="269" spans="1:21" ht="54">
      <c r="A269" s="203" t="s">
        <v>18</v>
      </c>
      <c r="B269" s="204">
        <v>9</v>
      </c>
      <c r="C269" s="204">
        <v>1</v>
      </c>
      <c r="D269" s="205">
        <v>6</v>
      </c>
      <c r="E269" s="193" t="s">
        <v>212</v>
      </c>
      <c r="F269" s="200" t="s">
        <v>73</v>
      </c>
      <c r="G269" s="181">
        <v>2</v>
      </c>
      <c r="H269" s="169" t="s">
        <v>201</v>
      </c>
      <c r="I269" s="170">
        <f>ROUNDUP(G269*0.5,0)</f>
        <v>1</v>
      </c>
      <c r="J269" s="171">
        <v>52</v>
      </c>
      <c r="K269" s="171">
        <f t="shared" si="16"/>
        <v>6.5</v>
      </c>
      <c r="L269" s="169" t="s">
        <v>213</v>
      </c>
      <c r="M269" s="170">
        <f>G269</f>
        <v>2</v>
      </c>
      <c r="N269" s="171">
        <v>1301.976</v>
      </c>
      <c r="O269" s="171">
        <f t="shared" si="17"/>
        <v>2603.952</v>
      </c>
      <c r="P269" s="182"/>
      <c r="Q269" s="170"/>
      <c r="R269" s="183">
        <v>0</v>
      </c>
      <c r="S269" s="184">
        <f t="shared" si="18"/>
        <v>0</v>
      </c>
      <c r="T269" s="185">
        <f>(SUM(K269:K271,O269:O271,S269:S271)/G269)*1.02</f>
        <v>1363.5880200000001</v>
      </c>
      <c r="U269" s="134">
        <f t="shared" si="19"/>
        <v>2727.1760400000003</v>
      </c>
    </row>
    <row r="270" spans="1:21" ht="15.75">
      <c r="A270" s="203"/>
      <c r="B270" s="204"/>
      <c r="C270" s="204"/>
      <c r="D270" s="205"/>
      <c r="E270" s="193"/>
      <c r="F270" s="200"/>
      <c r="G270" s="181"/>
      <c r="H270" s="169" t="s">
        <v>129</v>
      </c>
      <c r="I270" s="170">
        <f>ROUNDUP(G269*0.5,0)</f>
        <v>1</v>
      </c>
      <c r="J270" s="171">
        <v>26</v>
      </c>
      <c r="K270" s="171">
        <f t="shared" si="16"/>
        <v>3.25</v>
      </c>
      <c r="L270" s="169" t="s">
        <v>203</v>
      </c>
      <c r="M270" s="170">
        <f>G269*2</f>
        <v>4</v>
      </c>
      <c r="N270" s="171">
        <v>15</v>
      </c>
      <c r="O270" s="171">
        <f t="shared" si="17"/>
        <v>60</v>
      </c>
      <c r="P270" s="182"/>
      <c r="Q270" s="170"/>
      <c r="R270" s="183">
        <v>0</v>
      </c>
      <c r="S270" s="184">
        <f t="shared" si="18"/>
        <v>0</v>
      </c>
      <c r="T270" s="185"/>
      <c r="U270" s="134">
        <f t="shared" si="19"/>
        <v>0</v>
      </c>
    </row>
    <row r="271" spans="1:21" ht="15.75">
      <c r="A271" s="203"/>
      <c r="B271" s="204"/>
      <c r="C271" s="204"/>
      <c r="D271" s="205"/>
      <c r="E271" s="193"/>
      <c r="F271" s="200"/>
      <c r="G271" s="181"/>
      <c r="H271" s="169"/>
      <c r="I271" s="170"/>
      <c r="J271" s="171">
        <v>0</v>
      </c>
      <c r="K271" s="171">
        <f t="shared" si="16"/>
        <v>0</v>
      </c>
      <c r="L271" s="169" t="s">
        <v>205</v>
      </c>
      <c r="M271" s="170">
        <f>G269</f>
        <v>2</v>
      </c>
      <c r="N271" s="171">
        <v>0</v>
      </c>
      <c r="O271" s="171">
        <f t="shared" si="17"/>
        <v>0</v>
      </c>
      <c r="P271" s="182"/>
      <c r="Q271" s="170"/>
      <c r="R271" s="183">
        <v>0</v>
      </c>
      <c r="S271" s="184">
        <f t="shared" si="18"/>
        <v>0</v>
      </c>
      <c r="T271" s="176"/>
      <c r="U271" s="134">
        <f t="shared" si="19"/>
        <v>0</v>
      </c>
    </row>
    <row r="272" spans="1:21" ht="54">
      <c r="A272" s="203" t="s">
        <v>18</v>
      </c>
      <c r="B272" s="204">
        <v>9</v>
      </c>
      <c r="C272" s="204">
        <v>1</v>
      </c>
      <c r="D272" s="205">
        <v>5</v>
      </c>
      <c r="E272" s="187" t="s">
        <v>445</v>
      </c>
      <c r="F272" s="200" t="s">
        <v>73</v>
      </c>
      <c r="G272" s="181">
        <v>2</v>
      </c>
      <c r="H272" s="169"/>
      <c r="I272" s="170"/>
      <c r="J272" s="171">
        <v>0</v>
      </c>
      <c r="K272" s="171">
        <f t="shared" si="16"/>
        <v>0</v>
      </c>
      <c r="L272" s="169" t="s">
        <v>214</v>
      </c>
      <c r="M272" s="170">
        <f>G272</f>
        <v>2</v>
      </c>
      <c r="N272" s="171">
        <v>30</v>
      </c>
      <c r="O272" s="171">
        <f t="shared" si="17"/>
        <v>60</v>
      </c>
      <c r="P272" s="182"/>
      <c r="Q272" s="170"/>
      <c r="R272" s="183">
        <v>0</v>
      </c>
      <c r="S272" s="184">
        <f t="shared" si="18"/>
        <v>0</v>
      </c>
      <c r="T272" s="185">
        <f>(SUM(K272,O272,S272)/G272)*1.02</f>
        <v>30.6</v>
      </c>
      <c r="U272" s="134">
        <f t="shared" si="19"/>
        <v>61.2</v>
      </c>
    </row>
    <row r="273" spans="1:21" s="109" customFormat="1" ht="54">
      <c r="A273" s="203" t="s">
        <v>18</v>
      </c>
      <c r="B273" s="204">
        <v>9</v>
      </c>
      <c r="C273" s="204">
        <v>1</v>
      </c>
      <c r="D273" s="205">
        <v>6</v>
      </c>
      <c r="E273" s="187" t="s">
        <v>446</v>
      </c>
      <c r="F273" s="200" t="s">
        <v>73</v>
      </c>
      <c r="G273" s="181">
        <v>2</v>
      </c>
      <c r="H273" s="169" t="s">
        <v>201</v>
      </c>
      <c r="I273" s="170">
        <f>ROUNDUP(G273*0.25,0)</f>
        <v>1</v>
      </c>
      <c r="J273" s="171">
        <v>52</v>
      </c>
      <c r="K273" s="171">
        <f t="shared" si="16"/>
        <v>6.5</v>
      </c>
      <c r="L273" s="169" t="s">
        <v>215</v>
      </c>
      <c r="M273" s="170">
        <f>G273</f>
        <v>2</v>
      </c>
      <c r="N273" s="171">
        <v>120.988</v>
      </c>
      <c r="O273" s="171">
        <f t="shared" si="17"/>
        <v>241.976</v>
      </c>
      <c r="P273" s="182" t="s">
        <v>216</v>
      </c>
      <c r="Q273" s="170">
        <f>I273</f>
        <v>1</v>
      </c>
      <c r="R273" s="183">
        <v>1</v>
      </c>
      <c r="S273" s="184">
        <f t="shared" si="18"/>
        <v>1</v>
      </c>
      <c r="T273" s="185">
        <f>(SUM(K273:K274,O273:O274,S273:S274)/G273)*1.02</f>
        <v>128.89026</v>
      </c>
      <c r="U273" s="134">
        <f t="shared" si="19"/>
        <v>257.78052</v>
      </c>
    </row>
    <row r="274" spans="1:21" s="109" customFormat="1" ht="15.75">
      <c r="A274" s="203"/>
      <c r="B274" s="204"/>
      <c r="C274" s="204"/>
      <c r="D274" s="205"/>
      <c r="E274" s="187"/>
      <c r="F274" s="200"/>
      <c r="G274" s="181"/>
      <c r="H274" s="169" t="s">
        <v>129</v>
      </c>
      <c r="I274" s="170">
        <f>ROUNDUP(G273*0.25,0)</f>
        <v>1</v>
      </c>
      <c r="J274" s="171">
        <v>26</v>
      </c>
      <c r="K274" s="171">
        <f t="shared" si="16"/>
        <v>3.25</v>
      </c>
      <c r="L274" s="169"/>
      <c r="M274" s="170"/>
      <c r="N274" s="171">
        <v>0</v>
      </c>
      <c r="O274" s="171">
        <f t="shared" si="17"/>
        <v>0</v>
      </c>
      <c r="P274" s="182"/>
      <c r="Q274" s="170"/>
      <c r="R274" s="183">
        <v>0</v>
      </c>
      <c r="S274" s="184">
        <f t="shared" si="18"/>
        <v>0</v>
      </c>
      <c r="T274" s="185"/>
      <c r="U274" s="134">
        <f t="shared" si="19"/>
        <v>0</v>
      </c>
    </row>
    <row r="275" spans="1:21" ht="15.75">
      <c r="A275" s="197" t="s">
        <v>18</v>
      </c>
      <c r="B275" s="198">
        <v>9</v>
      </c>
      <c r="C275" s="198">
        <v>2</v>
      </c>
      <c r="D275" s="201"/>
      <c r="E275" s="186" t="s">
        <v>99</v>
      </c>
      <c r="F275" s="202"/>
      <c r="G275" s="181">
        <v>0</v>
      </c>
      <c r="H275" s="169"/>
      <c r="I275" s="170"/>
      <c r="J275" s="171">
        <v>0</v>
      </c>
      <c r="K275" s="171">
        <f t="shared" si="16"/>
        <v>0</v>
      </c>
      <c r="L275" s="169"/>
      <c r="M275" s="170"/>
      <c r="N275" s="171">
        <v>0</v>
      </c>
      <c r="O275" s="171">
        <f t="shared" si="17"/>
        <v>0</v>
      </c>
      <c r="P275" s="182"/>
      <c r="Q275" s="170"/>
      <c r="R275" s="183">
        <v>0</v>
      </c>
      <c r="S275" s="184">
        <f t="shared" si="18"/>
        <v>0</v>
      </c>
      <c r="T275" s="185"/>
      <c r="U275" s="134">
        <f t="shared" si="19"/>
        <v>0</v>
      </c>
    </row>
    <row r="276" spans="1:21" ht="54">
      <c r="A276" s="203" t="s">
        <v>18</v>
      </c>
      <c r="B276" s="204">
        <v>9</v>
      </c>
      <c r="C276" s="204">
        <v>2</v>
      </c>
      <c r="D276" s="205"/>
      <c r="E276" s="223" t="s">
        <v>100</v>
      </c>
      <c r="F276" s="200"/>
      <c r="G276" s="181">
        <v>0</v>
      </c>
      <c r="H276" s="169"/>
      <c r="I276" s="170"/>
      <c r="J276" s="171">
        <v>0</v>
      </c>
      <c r="K276" s="171">
        <f aca="true" t="shared" si="20" ref="K276:K341">I276*J276/8</f>
        <v>0</v>
      </c>
      <c r="L276" s="169"/>
      <c r="M276" s="170"/>
      <c r="N276" s="171">
        <v>0</v>
      </c>
      <c r="O276" s="171">
        <f aca="true" t="shared" si="21" ref="O276:O341">M276*N276</f>
        <v>0</v>
      </c>
      <c r="P276" s="182"/>
      <c r="Q276" s="170"/>
      <c r="R276" s="183">
        <v>0</v>
      </c>
      <c r="S276" s="184">
        <f aca="true" t="shared" si="22" ref="S276:S341">R276*Q276</f>
        <v>0</v>
      </c>
      <c r="T276" s="188"/>
      <c r="U276" s="134">
        <f t="shared" si="19"/>
        <v>0</v>
      </c>
    </row>
    <row r="277" spans="1:21" ht="40.5">
      <c r="A277" s="203" t="s">
        <v>18</v>
      </c>
      <c r="B277" s="204">
        <v>9</v>
      </c>
      <c r="C277" s="204">
        <v>2</v>
      </c>
      <c r="D277" s="205"/>
      <c r="E277" s="224" t="s">
        <v>447</v>
      </c>
      <c r="F277" s="200"/>
      <c r="G277" s="181">
        <v>0</v>
      </c>
      <c r="H277" s="169"/>
      <c r="I277" s="170"/>
      <c r="J277" s="171">
        <v>0</v>
      </c>
      <c r="K277" s="171">
        <f t="shared" si="20"/>
        <v>0</v>
      </c>
      <c r="L277" s="169"/>
      <c r="M277" s="170"/>
      <c r="N277" s="171">
        <v>0</v>
      </c>
      <c r="O277" s="171">
        <f t="shared" si="21"/>
        <v>0</v>
      </c>
      <c r="P277" s="182"/>
      <c r="Q277" s="170"/>
      <c r="R277" s="183">
        <v>0</v>
      </c>
      <c r="S277" s="184">
        <f t="shared" si="22"/>
        <v>0</v>
      </c>
      <c r="T277" s="176"/>
      <c r="U277" s="134">
        <f t="shared" si="19"/>
        <v>0</v>
      </c>
    </row>
    <row r="278" spans="1:21" ht="15.75">
      <c r="A278" s="203" t="s">
        <v>18</v>
      </c>
      <c r="B278" s="204">
        <v>9</v>
      </c>
      <c r="C278" s="204">
        <v>2</v>
      </c>
      <c r="D278" s="205">
        <v>1</v>
      </c>
      <c r="E278" s="187" t="s">
        <v>101</v>
      </c>
      <c r="F278" s="200" t="s">
        <v>64</v>
      </c>
      <c r="G278" s="181">
        <v>12</v>
      </c>
      <c r="H278" s="169" t="s">
        <v>201</v>
      </c>
      <c r="I278" s="170">
        <f>ROUNDUP(G278*0.25,0)</f>
        <v>3</v>
      </c>
      <c r="J278" s="171">
        <v>52</v>
      </c>
      <c r="K278" s="171">
        <f t="shared" si="20"/>
        <v>19.5</v>
      </c>
      <c r="L278" s="169" t="s">
        <v>217</v>
      </c>
      <c r="M278" s="170">
        <f>ROUNDUP(G278/6,0)</f>
        <v>2</v>
      </c>
      <c r="N278" s="171">
        <v>70.39</v>
      </c>
      <c r="O278" s="171">
        <f t="shared" si="21"/>
        <v>140.78</v>
      </c>
      <c r="P278" s="182"/>
      <c r="Q278" s="170"/>
      <c r="R278" s="183">
        <v>0</v>
      </c>
      <c r="S278" s="184">
        <f t="shared" si="22"/>
        <v>0</v>
      </c>
      <c r="T278" s="185">
        <f>(SUM(K278:K281,O278:O281,S278:S281)/G278)*1.02</f>
        <v>23.59298405125</v>
      </c>
      <c r="U278" s="134">
        <f t="shared" si="19"/>
        <v>283.115808615</v>
      </c>
    </row>
    <row r="279" spans="1:21" ht="15.75">
      <c r="A279" s="203"/>
      <c r="B279" s="204"/>
      <c r="C279" s="204"/>
      <c r="D279" s="205"/>
      <c r="E279" s="187"/>
      <c r="F279" s="200"/>
      <c r="G279" s="181"/>
      <c r="H279" s="169" t="s">
        <v>129</v>
      </c>
      <c r="I279" s="170">
        <f>ROUNDUP(G278*0.25,0)</f>
        <v>3</v>
      </c>
      <c r="J279" s="171">
        <v>26</v>
      </c>
      <c r="K279" s="171">
        <f t="shared" si="20"/>
        <v>9.75</v>
      </c>
      <c r="L279" s="169" t="s">
        <v>218</v>
      </c>
      <c r="M279" s="170">
        <v>34</v>
      </c>
      <c r="N279" s="171">
        <v>2</v>
      </c>
      <c r="O279" s="171">
        <f t="shared" si="21"/>
        <v>68</v>
      </c>
      <c r="P279" s="182"/>
      <c r="Q279" s="170"/>
      <c r="R279" s="183">
        <v>0</v>
      </c>
      <c r="S279" s="184">
        <f t="shared" si="22"/>
        <v>0</v>
      </c>
      <c r="T279" s="185"/>
      <c r="U279" s="134">
        <f t="shared" si="19"/>
        <v>0</v>
      </c>
    </row>
    <row r="280" spans="1:21" ht="15.75">
      <c r="A280" s="203"/>
      <c r="B280" s="204"/>
      <c r="C280" s="204"/>
      <c r="D280" s="205"/>
      <c r="E280" s="187"/>
      <c r="F280" s="200"/>
      <c r="G280" s="181"/>
      <c r="H280" s="169"/>
      <c r="I280" s="170"/>
      <c r="J280" s="171">
        <v>0</v>
      </c>
      <c r="K280" s="171">
        <f t="shared" si="20"/>
        <v>0</v>
      </c>
      <c r="L280" s="169" t="s">
        <v>219</v>
      </c>
      <c r="M280" s="170">
        <v>9</v>
      </c>
      <c r="N280" s="171">
        <v>2</v>
      </c>
      <c r="O280" s="171">
        <f t="shared" si="21"/>
        <v>18</v>
      </c>
      <c r="P280" s="182"/>
      <c r="Q280" s="170"/>
      <c r="R280" s="183">
        <v>0</v>
      </c>
      <c r="S280" s="184">
        <f t="shared" si="22"/>
        <v>0</v>
      </c>
      <c r="T280" s="185"/>
      <c r="U280" s="134">
        <f t="shared" si="19"/>
        <v>0</v>
      </c>
    </row>
    <row r="281" spans="1:21" ht="15.75">
      <c r="A281" s="203"/>
      <c r="B281" s="204"/>
      <c r="C281" s="204"/>
      <c r="D281" s="205"/>
      <c r="E281" s="187"/>
      <c r="F281" s="200"/>
      <c r="G281" s="181"/>
      <c r="H281" s="169"/>
      <c r="I281" s="170"/>
      <c r="J281" s="171">
        <v>0</v>
      </c>
      <c r="K281" s="171">
        <f t="shared" si="20"/>
        <v>0</v>
      </c>
      <c r="L281" s="169" t="s">
        <v>220</v>
      </c>
      <c r="M281" s="170">
        <f>(M279+M280)*0.01</f>
        <v>0.43</v>
      </c>
      <c r="N281" s="171">
        <v>50.080275</v>
      </c>
      <c r="O281" s="171">
        <f t="shared" si="21"/>
        <v>21.53451825</v>
      </c>
      <c r="P281" s="182"/>
      <c r="Q281" s="170"/>
      <c r="R281" s="183">
        <v>0</v>
      </c>
      <c r="S281" s="184">
        <f t="shared" si="22"/>
        <v>0</v>
      </c>
      <c r="T281" s="185"/>
      <c r="U281" s="134">
        <f t="shared" si="19"/>
        <v>0</v>
      </c>
    </row>
    <row r="282" spans="1:21" ht="15.75">
      <c r="A282" s="197" t="s">
        <v>18</v>
      </c>
      <c r="B282" s="198">
        <v>9</v>
      </c>
      <c r="C282" s="198">
        <v>3</v>
      </c>
      <c r="D282" s="201"/>
      <c r="E282" s="186" t="s">
        <v>102</v>
      </c>
      <c r="F282" s="200"/>
      <c r="G282" s="181">
        <v>0</v>
      </c>
      <c r="H282" s="169"/>
      <c r="I282" s="170"/>
      <c r="J282" s="171">
        <v>0</v>
      </c>
      <c r="K282" s="171">
        <f t="shared" si="20"/>
        <v>0</v>
      </c>
      <c r="L282" s="169"/>
      <c r="M282" s="170"/>
      <c r="N282" s="171">
        <v>0</v>
      </c>
      <c r="O282" s="171">
        <f t="shared" si="21"/>
        <v>0</v>
      </c>
      <c r="P282" s="182"/>
      <c r="Q282" s="170"/>
      <c r="R282" s="183">
        <v>0</v>
      </c>
      <c r="S282" s="184">
        <f t="shared" si="22"/>
        <v>0</v>
      </c>
      <c r="T282" s="176"/>
      <c r="U282" s="134">
        <f t="shared" si="19"/>
        <v>0</v>
      </c>
    </row>
    <row r="283" spans="1:21" ht="40.5">
      <c r="A283" s="203" t="s">
        <v>18</v>
      </c>
      <c r="B283" s="204">
        <v>9</v>
      </c>
      <c r="C283" s="204">
        <v>3</v>
      </c>
      <c r="D283" s="205"/>
      <c r="E283" s="187" t="s">
        <v>448</v>
      </c>
      <c r="F283" s="200"/>
      <c r="G283" s="181">
        <v>0</v>
      </c>
      <c r="H283" s="169"/>
      <c r="I283" s="170"/>
      <c r="J283" s="171">
        <v>0</v>
      </c>
      <c r="K283" s="171">
        <f t="shared" si="20"/>
        <v>0</v>
      </c>
      <c r="L283" s="169"/>
      <c r="M283" s="170"/>
      <c r="N283" s="171">
        <v>0</v>
      </c>
      <c r="O283" s="171">
        <f t="shared" si="21"/>
        <v>0</v>
      </c>
      <c r="P283" s="182"/>
      <c r="Q283" s="170"/>
      <c r="R283" s="183">
        <v>0</v>
      </c>
      <c r="S283" s="184">
        <f t="shared" si="22"/>
        <v>0</v>
      </c>
      <c r="T283" s="185"/>
      <c r="U283" s="134">
        <f t="shared" si="19"/>
        <v>0</v>
      </c>
    </row>
    <row r="284" spans="1:21" ht="15.75">
      <c r="A284" s="203" t="s">
        <v>18</v>
      </c>
      <c r="B284" s="204">
        <v>9</v>
      </c>
      <c r="C284" s="204">
        <v>3</v>
      </c>
      <c r="D284" s="205">
        <v>1</v>
      </c>
      <c r="E284" s="187" t="s">
        <v>103</v>
      </c>
      <c r="F284" s="200" t="s">
        <v>73</v>
      </c>
      <c r="G284" s="181">
        <v>4</v>
      </c>
      <c r="H284" s="169"/>
      <c r="I284" s="170"/>
      <c r="J284" s="171">
        <v>0</v>
      </c>
      <c r="K284" s="171">
        <f t="shared" si="20"/>
        <v>0</v>
      </c>
      <c r="L284" s="169" t="s">
        <v>221</v>
      </c>
      <c r="M284" s="170">
        <f>G284</f>
        <v>4</v>
      </c>
      <c r="N284" s="171">
        <v>66.97</v>
      </c>
      <c r="O284" s="171">
        <f t="shared" si="21"/>
        <v>267.88</v>
      </c>
      <c r="P284" s="182"/>
      <c r="Q284" s="170"/>
      <c r="R284" s="183">
        <v>0</v>
      </c>
      <c r="S284" s="184">
        <f t="shared" si="22"/>
        <v>0</v>
      </c>
      <c r="T284" s="185">
        <f>(SUM(K284:K285,O284:O285,S284:S285)/G284)*1.02</f>
        <v>71.3694</v>
      </c>
      <c r="U284" s="134">
        <f t="shared" si="19"/>
        <v>285.4776</v>
      </c>
    </row>
    <row r="285" spans="1:21" ht="15.75">
      <c r="A285" s="203"/>
      <c r="B285" s="204"/>
      <c r="C285" s="204"/>
      <c r="D285" s="205"/>
      <c r="E285" s="187"/>
      <c r="F285" s="200"/>
      <c r="G285" s="181"/>
      <c r="H285" s="169"/>
      <c r="I285" s="170"/>
      <c r="J285" s="171">
        <v>0</v>
      </c>
      <c r="K285" s="171">
        <f t="shared" si="20"/>
        <v>0</v>
      </c>
      <c r="L285" s="169" t="s">
        <v>222</v>
      </c>
      <c r="M285" s="170">
        <f>G284</f>
        <v>4</v>
      </c>
      <c r="N285" s="171">
        <v>3</v>
      </c>
      <c r="O285" s="171">
        <f t="shared" si="21"/>
        <v>12</v>
      </c>
      <c r="P285" s="182"/>
      <c r="Q285" s="170"/>
      <c r="R285" s="183">
        <v>0</v>
      </c>
      <c r="S285" s="184">
        <f t="shared" si="22"/>
        <v>0</v>
      </c>
      <c r="T285" s="188"/>
      <c r="U285" s="134">
        <f t="shared" si="19"/>
        <v>0</v>
      </c>
    </row>
    <row r="286" spans="1:21" ht="15.75">
      <c r="A286" s="197" t="s">
        <v>18</v>
      </c>
      <c r="B286" s="198">
        <v>9</v>
      </c>
      <c r="C286" s="198">
        <v>4</v>
      </c>
      <c r="D286" s="201"/>
      <c r="E286" s="186" t="s">
        <v>104</v>
      </c>
      <c r="F286" s="202"/>
      <c r="G286" s="181">
        <v>0</v>
      </c>
      <c r="H286" s="169"/>
      <c r="I286" s="170"/>
      <c r="J286" s="171">
        <v>0</v>
      </c>
      <c r="K286" s="171">
        <f t="shared" si="20"/>
        <v>0</v>
      </c>
      <c r="L286" s="169"/>
      <c r="M286" s="170"/>
      <c r="N286" s="171">
        <v>0</v>
      </c>
      <c r="O286" s="171">
        <f t="shared" si="21"/>
        <v>0</v>
      </c>
      <c r="P286" s="182"/>
      <c r="Q286" s="170"/>
      <c r="R286" s="183">
        <v>0</v>
      </c>
      <c r="S286" s="184">
        <f t="shared" si="22"/>
        <v>0</v>
      </c>
      <c r="T286" s="185"/>
      <c r="U286" s="134">
        <f t="shared" si="19"/>
        <v>0</v>
      </c>
    </row>
    <row r="287" spans="1:21" s="109" customFormat="1" ht="54">
      <c r="A287" s="203" t="s">
        <v>18</v>
      </c>
      <c r="B287" s="204">
        <v>9</v>
      </c>
      <c r="C287" s="204">
        <v>4</v>
      </c>
      <c r="D287" s="205"/>
      <c r="E287" s="223" t="s">
        <v>105</v>
      </c>
      <c r="F287" s="200"/>
      <c r="G287" s="181">
        <v>0</v>
      </c>
      <c r="H287" s="169"/>
      <c r="I287" s="170"/>
      <c r="J287" s="171">
        <v>0</v>
      </c>
      <c r="K287" s="171">
        <f t="shared" si="20"/>
        <v>0</v>
      </c>
      <c r="L287" s="169"/>
      <c r="M287" s="170"/>
      <c r="N287" s="171">
        <v>0</v>
      </c>
      <c r="O287" s="171">
        <f t="shared" si="21"/>
        <v>0</v>
      </c>
      <c r="P287" s="182"/>
      <c r="Q287" s="170"/>
      <c r="R287" s="183">
        <v>0</v>
      </c>
      <c r="S287" s="184">
        <f t="shared" si="22"/>
        <v>0</v>
      </c>
      <c r="T287" s="185"/>
      <c r="U287" s="134">
        <f t="shared" si="19"/>
        <v>0</v>
      </c>
    </row>
    <row r="288" spans="1:21" ht="27.75">
      <c r="A288" s="203" t="s">
        <v>18</v>
      </c>
      <c r="B288" s="204">
        <v>9</v>
      </c>
      <c r="C288" s="204">
        <v>4</v>
      </c>
      <c r="D288" s="205"/>
      <c r="E288" s="223" t="s">
        <v>449</v>
      </c>
      <c r="F288" s="200"/>
      <c r="G288" s="181">
        <v>0</v>
      </c>
      <c r="H288" s="169"/>
      <c r="I288" s="170"/>
      <c r="J288" s="171">
        <v>0</v>
      </c>
      <c r="K288" s="171">
        <f t="shared" si="20"/>
        <v>0</v>
      </c>
      <c r="L288" s="169"/>
      <c r="M288" s="170"/>
      <c r="N288" s="171">
        <v>0</v>
      </c>
      <c r="O288" s="171">
        <f t="shared" si="21"/>
        <v>0</v>
      </c>
      <c r="P288" s="182"/>
      <c r="Q288" s="170"/>
      <c r="R288" s="183">
        <v>0</v>
      </c>
      <c r="S288" s="184">
        <f t="shared" si="22"/>
        <v>0</v>
      </c>
      <c r="T288" s="185"/>
      <c r="U288" s="134">
        <f t="shared" si="19"/>
        <v>0</v>
      </c>
    </row>
    <row r="289" spans="1:21" ht="15.75">
      <c r="A289" s="203" t="s">
        <v>18</v>
      </c>
      <c r="B289" s="204">
        <v>9</v>
      </c>
      <c r="C289" s="204">
        <v>4</v>
      </c>
      <c r="D289" s="205">
        <v>1</v>
      </c>
      <c r="E289" s="187" t="s">
        <v>106</v>
      </c>
      <c r="F289" s="200" t="s">
        <v>64</v>
      </c>
      <c r="G289" s="181">
        <v>7</v>
      </c>
      <c r="H289" s="169" t="s">
        <v>201</v>
      </c>
      <c r="I289" s="170">
        <f>ROUNDUP(G289*0.5,0)</f>
        <v>4</v>
      </c>
      <c r="J289" s="171">
        <v>52</v>
      </c>
      <c r="K289" s="171">
        <f t="shared" si="20"/>
        <v>26</v>
      </c>
      <c r="L289" s="169" t="s">
        <v>223</v>
      </c>
      <c r="M289" s="170">
        <f>G289*1.05</f>
        <v>7.3500000000000005</v>
      </c>
      <c r="N289" s="171">
        <v>5.83</v>
      </c>
      <c r="O289" s="171">
        <f t="shared" si="21"/>
        <v>42.850500000000004</v>
      </c>
      <c r="P289" s="182"/>
      <c r="Q289" s="170"/>
      <c r="R289" s="183">
        <v>0</v>
      </c>
      <c r="S289" s="184">
        <f t="shared" si="22"/>
        <v>0</v>
      </c>
      <c r="T289" s="185">
        <f>(SUM(K289:K292,O289:O292,S289:S292)/G289)*1.02</f>
        <v>31.20198980014286</v>
      </c>
      <c r="U289" s="134">
        <f t="shared" si="19"/>
        <v>218.41392860100004</v>
      </c>
    </row>
    <row r="290" spans="1:21" ht="15.75">
      <c r="A290" s="203"/>
      <c r="B290" s="204"/>
      <c r="C290" s="204"/>
      <c r="D290" s="205"/>
      <c r="E290" s="187"/>
      <c r="F290" s="200"/>
      <c r="G290" s="181"/>
      <c r="H290" s="169" t="s">
        <v>129</v>
      </c>
      <c r="I290" s="170">
        <f>ROUNDUP(G289*1,0)</f>
        <v>7</v>
      </c>
      <c r="J290" s="171">
        <v>26</v>
      </c>
      <c r="K290" s="171">
        <f t="shared" si="20"/>
        <v>22.75</v>
      </c>
      <c r="L290" s="169" t="s">
        <v>224</v>
      </c>
      <c r="M290" s="170">
        <v>8</v>
      </c>
      <c r="N290" s="171">
        <v>7</v>
      </c>
      <c r="O290" s="171">
        <f t="shared" si="21"/>
        <v>56</v>
      </c>
      <c r="P290" s="182"/>
      <c r="Q290" s="170"/>
      <c r="R290" s="183">
        <v>0</v>
      </c>
      <c r="S290" s="184">
        <f t="shared" si="22"/>
        <v>0</v>
      </c>
      <c r="T290" s="176"/>
      <c r="U290" s="134">
        <f t="shared" si="19"/>
        <v>0</v>
      </c>
    </row>
    <row r="291" spans="1:21" ht="15.75">
      <c r="A291" s="203"/>
      <c r="B291" s="204"/>
      <c r="C291" s="204"/>
      <c r="D291" s="205"/>
      <c r="E291" s="187"/>
      <c r="F291" s="200"/>
      <c r="G291" s="181"/>
      <c r="H291" s="169"/>
      <c r="I291" s="170"/>
      <c r="J291" s="171">
        <v>0</v>
      </c>
      <c r="K291" s="171">
        <f t="shared" si="20"/>
        <v>0</v>
      </c>
      <c r="L291" s="169" t="s">
        <v>225</v>
      </c>
      <c r="M291" s="170">
        <v>2</v>
      </c>
      <c r="N291" s="171">
        <v>20</v>
      </c>
      <c r="O291" s="171">
        <f t="shared" si="21"/>
        <v>40</v>
      </c>
      <c r="P291" s="182"/>
      <c r="Q291" s="170"/>
      <c r="R291" s="183">
        <v>0</v>
      </c>
      <c r="S291" s="184">
        <f t="shared" si="22"/>
        <v>0</v>
      </c>
      <c r="T291" s="176"/>
      <c r="U291" s="134">
        <f t="shared" si="19"/>
        <v>0</v>
      </c>
    </row>
    <row r="292" spans="1:21" ht="15.75">
      <c r="A292" s="203"/>
      <c r="B292" s="204"/>
      <c r="C292" s="204"/>
      <c r="D292" s="205"/>
      <c r="E292" s="187"/>
      <c r="F292" s="200"/>
      <c r="G292" s="181"/>
      <c r="H292" s="169"/>
      <c r="I292" s="170"/>
      <c r="J292" s="171">
        <v>0</v>
      </c>
      <c r="K292" s="171">
        <f t="shared" si="20"/>
        <v>0</v>
      </c>
      <c r="L292" s="169" t="s">
        <v>226</v>
      </c>
      <c r="M292" s="170">
        <f>M289*0.12</f>
        <v>0.882</v>
      </c>
      <c r="N292" s="171">
        <v>30.080275</v>
      </c>
      <c r="O292" s="171">
        <f t="shared" si="21"/>
        <v>26.53080255</v>
      </c>
      <c r="P292" s="182"/>
      <c r="Q292" s="170"/>
      <c r="R292" s="183">
        <v>0</v>
      </c>
      <c r="S292" s="184">
        <f t="shared" si="22"/>
        <v>0</v>
      </c>
      <c r="T292" s="185"/>
      <c r="U292" s="134">
        <f t="shared" si="19"/>
        <v>0</v>
      </c>
    </row>
    <row r="293" spans="1:21" ht="15.75">
      <c r="A293" s="203" t="s">
        <v>18</v>
      </c>
      <c r="B293" s="204">
        <v>9</v>
      </c>
      <c r="C293" s="204">
        <v>4</v>
      </c>
      <c r="D293" s="205">
        <v>2</v>
      </c>
      <c r="E293" s="187" t="s">
        <v>107</v>
      </c>
      <c r="F293" s="200" t="s">
        <v>64</v>
      </c>
      <c r="G293" s="181">
        <v>3.5</v>
      </c>
      <c r="H293" s="169" t="s">
        <v>201</v>
      </c>
      <c r="I293" s="170">
        <f>ROUNDUP(G293*0.5,0)</f>
        <v>2</v>
      </c>
      <c r="J293" s="171">
        <v>52</v>
      </c>
      <c r="K293" s="171">
        <f t="shared" si="20"/>
        <v>13</v>
      </c>
      <c r="L293" s="169" t="s">
        <v>227</v>
      </c>
      <c r="M293" s="170">
        <f>G293*1.05</f>
        <v>3.6750000000000003</v>
      </c>
      <c r="N293" s="171">
        <v>18.83</v>
      </c>
      <c r="O293" s="171">
        <f t="shared" si="21"/>
        <v>69.20025</v>
      </c>
      <c r="P293" s="182"/>
      <c r="Q293" s="170"/>
      <c r="R293" s="183">
        <v>0</v>
      </c>
      <c r="S293" s="184">
        <f t="shared" si="22"/>
        <v>0</v>
      </c>
      <c r="T293" s="185">
        <f>(SUM(K293:K295,O293:O295,S293:S295)/G293)*1.02</f>
        <v>78.23856122871427</v>
      </c>
      <c r="U293" s="134">
        <f t="shared" si="19"/>
        <v>273.83496430049996</v>
      </c>
    </row>
    <row r="294" spans="1:21" ht="15.75">
      <c r="A294" s="203"/>
      <c r="B294" s="204"/>
      <c r="C294" s="204"/>
      <c r="D294" s="205"/>
      <c r="E294" s="187"/>
      <c r="F294" s="200"/>
      <c r="G294" s="181"/>
      <c r="H294" s="169" t="s">
        <v>129</v>
      </c>
      <c r="I294" s="170">
        <f>ROUNDUP(G293*1,0)</f>
        <v>4</v>
      </c>
      <c r="J294" s="171">
        <v>26</v>
      </c>
      <c r="K294" s="171">
        <f t="shared" si="20"/>
        <v>13</v>
      </c>
      <c r="L294" s="169" t="s">
        <v>228</v>
      </c>
      <c r="M294" s="170">
        <v>4</v>
      </c>
      <c r="N294" s="171">
        <v>40</v>
      </c>
      <c r="O294" s="171">
        <f t="shared" si="21"/>
        <v>160</v>
      </c>
      <c r="P294" s="182"/>
      <c r="Q294" s="170"/>
      <c r="R294" s="183">
        <v>0</v>
      </c>
      <c r="S294" s="184">
        <f t="shared" si="22"/>
        <v>0</v>
      </c>
      <c r="T294" s="188"/>
      <c r="U294" s="134">
        <f t="shared" si="19"/>
        <v>0</v>
      </c>
    </row>
    <row r="295" spans="1:21" ht="15.75">
      <c r="A295" s="203"/>
      <c r="B295" s="204"/>
      <c r="C295" s="204"/>
      <c r="D295" s="205"/>
      <c r="E295" s="187"/>
      <c r="F295" s="200"/>
      <c r="G295" s="181"/>
      <c r="H295" s="169"/>
      <c r="I295" s="170"/>
      <c r="J295" s="171">
        <v>0</v>
      </c>
      <c r="K295" s="171">
        <f t="shared" si="20"/>
        <v>0</v>
      </c>
      <c r="L295" s="169" t="s">
        <v>226</v>
      </c>
      <c r="M295" s="170">
        <f>M293*0.12</f>
        <v>0.441</v>
      </c>
      <c r="N295" s="171">
        <v>30.080275</v>
      </c>
      <c r="O295" s="171">
        <f t="shared" si="21"/>
        <v>13.265401275</v>
      </c>
      <c r="P295" s="182"/>
      <c r="Q295" s="170"/>
      <c r="R295" s="183">
        <v>0</v>
      </c>
      <c r="S295" s="184">
        <f t="shared" si="22"/>
        <v>0</v>
      </c>
      <c r="T295" s="185"/>
      <c r="U295" s="134">
        <f t="shared" si="19"/>
        <v>0</v>
      </c>
    </row>
    <row r="296" spans="1:21" ht="40.5">
      <c r="A296" s="203" t="s">
        <v>18</v>
      </c>
      <c r="B296" s="204">
        <v>9</v>
      </c>
      <c r="C296" s="204">
        <v>5</v>
      </c>
      <c r="D296" s="205"/>
      <c r="E296" s="191" t="s">
        <v>108</v>
      </c>
      <c r="F296" s="200"/>
      <c r="G296" s="181">
        <v>0</v>
      </c>
      <c r="H296" s="169"/>
      <c r="I296" s="170"/>
      <c r="J296" s="171">
        <v>0</v>
      </c>
      <c r="K296" s="171">
        <f t="shared" si="20"/>
        <v>0</v>
      </c>
      <c r="L296" s="169"/>
      <c r="M296" s="170"/>
      <c r="N296" s="171">
        <v>0</v>
      </c>
      <c r="O296" s="171">
        <f t="shared" si="21"/>
        <v>0</v>
      </c>
      <c r="P296" s="182"/>
      <c r="Q296" s="170"/>
      <c r="R296" s="183">
        <v>0</v>
      </c>
      <c r="S296" s="184">
        <f t="shared" si="22"/>
        <v>0</v>
      </c>
      <c r="T296" s="185"/>
      <c r="U296" s="134">
        <f t="shared" si="19"/>
        <v>0</v>
      </c>
    </row>
    <row r="297" spans="1:21" ht="15.75">
      <c r="A297" s="203" t="s">
        <v>18</v>
      </c>
      <c r="B297" s="204">
        <v>9</v>
      </c>
      <c r="C297" s="204">
        <v>5</v>
      </c>
      <c r="D297" s="205">
        <v>1</v>
      </c>
      <c r="E297" s="187" t="s">
        <v>109</v>
      </c>
      <c r="F297" s="200" t="s">
        <v>64</v>
      </c>
      <c r="G297" s="181">
        <v>24</v>
      </c>
      <c r="H297" s="169" t="s">
        <v>129</v>
      </c>
      <c r="I297" s="170">
        <f>ROUNDUP(G297*0.33,0)</f>
        <v>8</v>
      </c>
      <c r="J297" s="171">
        <v>26</v>
      </c>
      <c r="K297" s="171">
        <f t="shared" si="20"/>
        <v>26</v>
      </c>
      <c r="L297" s="169" t="s">
        <v>163</v>
      </c>
      <c r="M297" s="170">
        <f>G297*0.5</f>
        <v>12</v>
      </c>
      <c r="N297" s="171">
        <v>30.2006875</v>
      </c>
      <c r="O297" s="171">
        <f t="shared" si="21"/>
        <v>362.40825</v>
      </c>
      <c r="P297" s="182"/>
      <c r="Q297" s="170"/>
      <c r="R297" s="183">
        <v>0</v>
      </c>
      <c r="S297" s="184">
        <f t="shared" si="22"/>
        <v>0</v>
      </c>
      <c r="T297" s="185">
        <f>(SUM(K297:K304,O297:O304,S297:S304)/G297)*1.02</f>
        <v>25.698833597999997</v>
      </c>
      <c r="U297" s="134">
        <f t="shared" si="19"/>
        <v>616.772006352</v>
      </c>
    </row>
    <row r="298" spans="1:21" ht="15.75">
      <c r="A298" s="203"/>
      <c r="B298" s="204"/>
      <c r="C298" s="204"/>
      <c r="D298" s="205"/>
      <c r="E298" s="191"/>
      <c r="F298" s="200"/>
      <c r="G298" s="181"/>
      <c r="H298" s="169" t="s">
        <v>164</v>
      </c>
      <c r="I298" s="170">
        <f>ROUNDUP(G297*0.33,0)</f>
        <v>8</v>
      </c>
      <c r="J298" s="171">
        <v>52</v>
      </c>
      <c r="K298" s="171">
        <f t="shared" si="20"/>
        <v>52</v>
      </c>
      <c r="L298" s="169" t="s">
        <v>165</v>
      </c>
      <c r="M298" s="170">
        <f>G297*1.05</f>
        <v>25.200000000000003</v>
      </c>
      <c r="N298" s="171">
        <v>0.1</v>
      </c>
      <c r="O298" s="171">
        <f t="shared" si="21"/>
        <v>2.5200000000000005</v>
      </c>
      <c r="P298" s="182"/>
      <c r="Q298" s="170"/>
      <c r="R298" s="183">
        <v>0</v>
      </c>
      <c r="S298" s="184">
        <f t="shared" si="22"/>
        <v>0</v>
      </c>
      <c r="T298" s="188"/>
      <c r="U298" s="134">
        <f t="shared" si="19"/>
        <v>0</v>
      </c>
    </row>
    <row r="299" spans="1:21" ht="15.75">
      <c r="A299" s="203"/>
      <c r="B299" s="204"/>
      <c r="C299" s="204"/>
      <c r="D299" s="205"/>
      <c r="E299" s="191"/>
      <c r="F299" s="200"/>
      <c r="G299" s="181"/>
      <c r="H299" s="169"/>
      <c r="I299" s="170"/>
      <c r="J299" s="171">
        <v>0</v>
      </c>
      <c r="K299" s="171">
        <f t="shared" si="20"/>
        <v>0</v>
      </c>
      <c r="L299" s="169" t="s">
        <v>166</v>
      </c>
      <c r="M299" s="170">
        <f>M298</f>
        <v>25.200000000000003</v>
      </c>
      <c r="N299" s="171">
        <v>0.1</v>
      </c>
      <c r="O299" s="171">
        <f t="shared" si="21"/>
        <v>2.5200000000000005</v>
      </c>
      <c r="P299" s="182"/>
      <c r="Q299" s="170"/>
      <c r="R299" s="183">
        <v>0</v>
      </c>
      <c r="S299" s="184">
        <f t="shared" si="22"/>
        <v>0</v>
      </c>
      <c r="T299" s="185"/>
      <c r="U299" s="134">
        <f t="shared" si="19"/>
        <v>0</v>
      </c>
    </row>
    <row r="300" spans="1:21" ht="15.75">
      <c r="A300" s="203"/>
      <c r="B300" s="204"/>
      <c r="C300" s="204"/>
      <c r="D300" s="205"/>
      <c r="E300" s="191"/>
      <c r="F300" s="200"/>
      <c r="G300" s="181"/>
      <c r="H300" s="169"/>
      <c r="I300" s="170"/>
      <c r="J300" s="171">
        <v>0</v>
      </c>
      <c r="K300" s="171">
        <f t="shared" si="20"/>
        <v>0</v>
      </c>
      <c r="L300" s="169" t="s">
        <v>167</v>
      </c>
      <c r="M300" s="170">
        <f>G297*0.01</f>
        <v>0.24</v>
      </c>
      <c r="N300" s="171">
        <v>80.080275</v>
      </c>
      <c r="O300" s="171">
        <f t="shared" si="21"/>
        <v>19.219266</v>
      </c>
      <c r="P300" s="172"/>
      <c r="Q300" s="173"/>
      <c r="R300" s="183">
        <v>0</v>
      </c>
      <c r="S300" s="184">
        <f t="shared" si="22"/>
        <v>0</v>
      </c>
      <c r="T300" s="185"/>
      <c r="U300" s="134">
        <f t="shared" si="19"/>
        <v>0</v>
      </c>
    </row>
    <row r="301" spans="1:21" ht="15.75">
      <c r="A301" s="203"/>
      <c r="B301" s="204"/>
      <c r="C301" s="204"/>
      <c r="D301" s="205"/>
      <c r="E301" s="191"/>
      <c r="F301" s="200"/>
      <c r="G301" s="181"/>
      <c r="H301" s="169"/>
      <c r="I301" s="170"/>
      <c r="J301" s="171">
        <v>0</v>
      </c>
      <c r="K301" s="171">
        <f t="shared" si="20"/>
        <v>0</v>
      </c>
      <c r="L301" s="169" t="s">
        <v>168</v>
      </c>
      <c r="M301" s="170">
        <f>ROUNDUP(G297*2,0)</f>
        <v>48</v>
      </c>
      <c r="N301" s="171">
        <v>1.5</v>
      </c>
      <c r="O301" s="171">
        <f t="shared" si="21"/>
        <v>72</v>
      </c>
      <c r="P301" s="182"/>
      <c r="Q301" s="170"/>
      <c r="R301" s="183">
        <v>0</v>
      </c>
      <c r="S301" s="184">
        <f t="shared" si="22"/>
        <v>0</v>
      </c>
      <c r="T301" s="188"/>
      <c r="U301" s="134">
        <f t="shared" si="19"/>
        <v>0</v>
      </c>
    </row>
    <row r="302" spans="1:21" ht="15.75">
      <c r="A302" s="203"/>
      <c r="B302" s="204"/>
      <c r="C302" s="204"/>
      <c r="D302" s="205"/>
      <c r="E302" s="191"/>
      <c r="F302" s="200"/>
      <c r="G302" s="181"/>
      <c r="H302" s="169"/>
      <c r="I302" s="170"/>
      <c r="J302" s="171">
        <v>0</v>
      </c>
      <c r="K302" s="171">
        <f t="shared" si="20"/>
        <v>0</v>
      </c>
      <c r="L302" s="169" t="s">
        <v>169</v>
      </c>
      <c r="M302" s="170">
        <f>M301*0.01</f>
        <v>0.48</v>
      </c>
      <c r="N302" s="171">
        <v>59.451100000000004</v>
      </c>
      <c r="O302" s="171">
        <f t="shared" si="21"/>
        <v>28.536528</v>
      </c>
      <c r="P302" s="182"/>
      <c r="Q302" s="170"/>
      <c r="R302" s="183">
        <v>0</v>
      </c>
      <c r="S302" s="184">
        <f t="shared" si="22"/>
        <v>0</v>
      </c>
      <c r="T302" s="185"/>
      <c r="U302" s="134">
        <f t="shared" si="19"/>
        <v>0</v>
      </c>
    </row>
    <row r="303" spans="1:21" ht="15.75">
      <c r="A303" s="225"/>
      <c r="B303" s="226"/>
      <c r="C303" s="226"/>
      <c r="D303" s="226"/>
      <c r="E303" s="226"/>
      <c r="F303" s="226"/>
      <c r="G303" s="226"/>
      <c r="H303" s="169"/>
      <c r="I303" s="170"/>
      <c r="J303" s="171">
        <v>0</v>
      </c>
      <c r="K303" s="171">
        <f t="shared" si="20"/>
        <v>0</v>
      </c>
      <c r="L303" s="169" t="s">
        <v>170</v>
      </c>
      <c r="M303" s="170">
        <f>M301*0.01</f>
        <v>0.48</v>
      </c>
      <c r="N303" s="171">
        <v>82.0111</v>
      </c>
      <c r="O303" s="171">
        <f t="shared" si="21"/>
        <v>39.365328</v>
      </c>
      <c r="P303" s="182"/>
      <c r="Q303" s="170"/>
      <c r="R303" s="183">
        <v>0</v>
      </c>
      <c r="S303" s="184">
        <f t="shared" si="22"/>
        <v>0</v>
      </c>
      <c r="T303" s="176"/>
      <c r="U303" s="134">
        <f t="shared" si="19"/>
        <v>0</v>
      </c>
    </row>
    <row r="304" spans="1:21" ht="15.75">
      <c r="A304" s="225"/>
      <c r="B304" s="226"/>
      <c r="C304" s="226"/>
      <c r="D304" s="226"/>
      <c r="E304" s="226"/>
      <c r="F304" s="226"/>
      <c r="G304" s="226"/>
      <c r="H304" s="169"/>
      <c r="I304" s="170"/>
      <c r="J304" s="171">
        <v>0</v>
      </c>
      <c r="K304" s="171">
        <f t="shared" si="20"/>
        <v>0</v>
      </c>
      <c r="L304" s="169" t="s">
        <v>131</v>
      </c>
      <c r="M304" s="170">
        <f>M300*0.084</f>
        <v>0.02016</v>
      </c>
      <c r="N304" s="171">
        <v>5.41</v>
      </c>
      <c r="O304" s="171">
        <f t="shared" si="21"/>
        <v>0.10906560000000001</v>
      </c>
      <c r="P304" s="182"/>
      <c r="Q304" s="170"/>
      <c r="R304" s="183">
        <v>0</v>
      </c>
      <c r="S304" s="184">
        <f t="shared" si="22"/>
        <v>0</v>
      </c>
      <c r="T304" s="185"/>
      <c r="U304" s="134">
        <f t="shared" si="19"/>
        <v>0</v>
      </c>
    </row>
    <row r="305" spans="1:21" ht="54">
      <c r="A305" s="203" t="s">
        <v>18</v>
      </c>
      <c r="B305" s="204">
        <v>9</v>
      </c>
      <c r="C305" s="204">
        <v>6</v>
      </c>
      <c r="D305" s="205">
        <v>1</v>
      </c>
      <c r="E305" s="186" t="s">
        <v>450</v>
      </c>
      <c r="F305" s="200" t="s">
        <v>73</v>
      </c>
      <c r="G305" s="181">
        <v>3</v>
      </c>
      <c r="H305" s="169" t="s">
        <v>129</v>
      </c>
      <c r="I305" s="170">
        <f>ROUNDUP(G305*32,0)</f>
        <v>96</v>
      </c>
      <c r="J305" s="171">
        <v>26</v>
      </c>
      <c r="K305" s="171">
        <f t="shared" si="20"/>
        <v>312</v>
      </c>
      <c r="L305" s="169" t="s">
        <v>134</v>
      </c>
      <c r="M305" s="170">
        <f>G305*1.54*1.4</f>
        <v>6.468</v>
      </c>
      <c r="N305" s="171">
        <v>80</v>
      </c>
      <c r="O305" s="171">
        <f t="shared" si="21"/>
        <v>517.44</v>
      </c>
      <c r="P305" s="182" t="s">
        <v>229</v>
      </c>
      <c r="Q305" s="170">
        <f>G305*0.33</f>
        <v>0.99</v>
      </c>
      <c r="R305" s="183">
        <v>30</v>
      </c>
      <c r="S305" s="184">
        <f t="shared" si="22"/>
        <v>29.7</v>
      </c>
      <c r="T305" s="185">
        <f>(SUM(K305:K310,O305:O310,S305:S310)/G305)*1.02</f>
        <v>776.5794190408695</v>
      </c>
      <c r="U305" s="134">
        <f t="shared" si="19"/>
        <v>2329.7382571226085</v>
      </c>
    </row>
    <row r="306" spans="1:21" ht="15.75">
      <c r="A306" s="203"/>
      <c r="B306" s="204"/>
      <c r="C306" s="204"/>
      <c r="D306" s="205"/>
      <c r="E306" s="186"/>
      <c r="F306" s="200"/>
      <c r="G306" s="181"/>
      <c r="H306" s="169" t="s">
        <v>135</v>
      </c>
      <c r="I306" s="170">
        <f>ROUNDUP(G305*16,0)</f>
        <v>48</v>
      </c>
      <c r="J306" s="171">
        <v>52</v>
      </c>
      <c r="K306" s="171">
        <f t="shared" si="20"/>
        <v>312</v>
      </c>
      <c r="L306" s="169" t="s">
        <v>139</v>
      </c>
      <c r="M306" s="170">
        <f>M307*3*0.07</f>
        <v>1.0853388</v>
      </c>
      <c r="N306" s="171">
        <v>80</v>
      </c>
      <c r="O306" s="171">
        <f t="shared" si="21"/>
        <v>86.82710399999999</v>
      </c>
      <c r="P306" s="182"/>
      <c r="Q306" s="170"/>
      <c r="R306" s="183">
        <v>0</v>
      </c>
      <c r="S306" s="184">
        <f t="shared" si="22"/>
        <v>0</v>
      </c>
      <c r="T306" s="188"/>
      <c r="U306" s="134">
        <f t="shared" si="19"/>
        <v>0</v>
      </c>
    </row>
    <row r="307" spans="1:21" ht="15.75">
      <c r="A307" s="203"/>
      <c r="B307" s="204"/>
      <c r="C307" s="204"/>
      <c r="D307" s="205"/>
      <c r="E307" s="186"/>
      <c r="F307" s="200"/>
      <c r="G307" s="181"/>
      <c r="H307" s="169"/>
      <c r="I307" s="170"/>
      <c r="J307" s="171">
        <v>0</v>
      </c>
      <c r="K307" s="171">
        <f t="shared" si="20"/>
        <v>0</v>
      </c>
      <c r="L307" s="169" t="s">
        <v>136</v>
      </c>
      <c r="M307" s="170">
        <f>M305*0.71+G305*0.03*3.2*2</f>
        <v>5.168279999999999</v>
      </c>
      <c r="N307" s="171">
        <v>174.77097826086958</v>
      </c>
      <c r="O307" s="171">
        <f t="shared" si="21"/>
        <v>903.2653515260869</v>
      </c>
      <c r="P307" s="182"/>
      <c r="Q307" s="170"/>
      <c r="R307" s="183">
        <v>0</v>
      </c>
      <c r="S307" s="184">
        <f t="shared" si="22"/>
        <v>0</v>
      </c>
      <c r="T307" s="188"/>
      <c r="U307" s="134">
        <f t="shared" si="19"/>
        <v>0</v>
      </c>
    </row>
    <row r="308" spans="1:21" ht="15.75">
      <c r="A308" s="203"/>
      <c r="B308" s="204"/>
      <c r="C308" s="204"/>
      <c r="D308" s="205"/>
      <c r="E308" s="186"/>
      <c r="F308" s="200"/>
      <c r="G308" s="181"/>
      <c r="H308" s="169"/>
      <c r="I308" s="170"/>
      <c r="J308" s="171">
        <v>0</v>
      </c>
      <c r="K308" s="171">
        <f t="shared" si="20"/>
        <v>0</v>
      </c>
      <c r="L308" s="169" t="s">
        <v>138</v>
      </c>
      <c r="M308" s="170">
        <f>G305*2*0.036*0.78</f>
        <v>0.16848</v>
      </c>
      <c r="N308" s="171">
        <v>262.385</v>
      </c>
      <c r="O308" s="171">
        <f t="shared" si="21"/>
        <v>44.20662479999999</v>
      </c>
      <c r="P308" s="182"/>
      <c r="Q308" s="170"/>
      <c r="R308" s="183">
        <v>0</v>
      </c>
      <c r="S308" s="184">
        <f t="shared" si="22"/>
        <v>0</v>
      </c>
      <c r="T308" s="185"/>
      <c r="U308" s="134">
        <f t="shared" si="19"/>
        <v>0</v>
      </c>
    </row>
    <row r="309" spans="1:21" ht="15.75">
      <c r="A309" s="203"/>
      <c r="B309" s="204"/>
      <c r="C309" s="204"/>
      <c r="D309" s="205"/>
      <c r="E309" s="186"/>
      <c r="F309" s="200"/>
      <c r="G309" s="181"/>
      <c r="H309" s="169"/>
      <c r="I309" s="170"/>
      <c r="J309" s="171">
        <v>0</v>
      </c>
      <c r="K309" s="171">
        <f t="shared" si="20"/>
        <v>0</v>
      </c>
      <c r="L309" s="169" t="s">
        <v>131</v>
      </c>
      <c r="M309" s="170">
        <f>Q305*0.08</f>
        <v>0.0792</v>
      </c>
      <c r="N309" s="171">
        <v>5.41</v>
      </c>
      <c r="O309" s="171">
        <f t="shared" si="21"/>
        <v>0.428472</v>
      </c>
      <c r="P309" s="182"/>
      <c r="Q309" s="170"/>
      <c r="R309" s="183">
        <v>0</v>
      </c>
      <c r="S309" s="184">
        <f t="shared" si="22"/>
        <v>0</v>
      </c>
      <c r="T309" s="185"/>
      <c r="U309" s="134">
        <f t="shared" si="19"/>
        <v>0</v>
      </c>
    </row>
    <row r="310" spans="1:21" ht="15.75">
      <c r="A310" s="203"/>
      <c r="B310" s="204"/>
      <c r="C310" s="204"/>
      <c r="D310" s="205"/>
      <c r="E310" s="186"/>
      <c r="F310" s="200"/>
      <c r="G310" s="181"/>
      <c r="H310" s="169"/>
      <c r="I310" s="170"/>
      <c r="J310" s="171">
        <v>0</v>
      </c>
      <c r="K310" s="171">
        <f t="shared" si="20"/>
        <v>0</v>
      </c>
      <c r="L310" s="169" t="s">
        <v>153</v>
      </c>
      <c r="M310" s="170">
        <f>G305*2.5</f>
        <v>7.5</v>
      </c>
      <c r="N310" s="171">
        <v>10.425275000000001</v>
      </c>
      <c r="O310" s="171">
        <f t="shared" si="21"/>
        <v>78.18956250000001</v>
      </c>
      <c r="P310" s="182"/>
      <c r="Q310" s="170"/>
      <c r="R310" s="183">
        <v>0</v>
      </c>
      <c r="S310" s="184">
        <f t="shared" si="22"/>
        <v>0</v>
      </c>
      <c r="T310" s="185"/>
      <c r="U310" s="134">
        <f t="shared" si="19"/>
        <v>0</v>
      </c>
    </row>
    <row r="311" spans="1:21" ht="15.75">
      <c r="A311" s="197" t="s">
        <v>18</v>
      </c>
      <c r="B311" s="198">
        <v>9</v>
      </c>
      <c r="C311" s="198"/>
      <c r="D311" s="201"/>
      <c r="E311" s="189" t="s">
        <v>37</v>
      </c>
      <c r="F311" s="202"/>
      <c r="G311" s="181">
        <v>0</v>
      </c>
      <c r="H311" s="169"/>
      <c r="I311" s="170"/>
      <c r="J311" s="171">
        <v>0</v>
      </c>
      <c r="K311" s="171">
        <f t="shared" si="20"/>
        <v>0</v>
      </c>
      <c r="L311" s="169"/>
      <c r="M311" s="170"/>
      <c r="N311" s="171">
        <v>0</v>
      </c>
      <c r="O311" s="171">
        <f t="shared" si="21"/>
        <v>0</v>
      </c>
      <c r="P311" s="182"/>
      <c r="Q311" s="170"/>
      <c r="R311" s="183">
        <v>0</v>
      </c>
      <c r="S311" s="184">
        <f t="shared" si="22"/>
        <v>0</v>
      </c>
      <c r="T311" s="185"/>
      <c r="U311" s="134">
        <f t="shared" si="19"/>
        <v>0</v>
      </c>
    </row>
    <row r="312" spans="1:21" ht="15.75">
      <c r="A312" s="197" t="s">
        <v>18</v>
      </c>
      <c r="B312" s="198">
        <v>10</v>
      </c>
      <c r="C312" s="198"/>
      <c r="D312" s="201"/>
      <c r="E312" s="186" t="s">
        <v>110</v>
      </c>
      <c r="F312" s="200"/>
      <c r="G312" s="181">
        <v>0</v>
      </c>
      <c r="H312" s="169"/>
      <c r="I312" s="170"/>
      <c r="J312" s="171">
        <v>0</v>
      </c>
      <c r="K312" s="171">
        <f t="shared" si="20"/>
        <v>0</v>
      </c>
      <c r="L312" s="169"/>
      <c r="M312" s="170"/>
      <c r="N312" s="171">
        <v>0</v>
      </c>
      <c r="O312" s="171">
        <f t="shared" si="21"/>
        <v>0</v>
      </c>
      <c r="P312" s="182"/>
      <c r="Q312" s="170"/>
      <c r="R312" s="183">
        <v>0</v>
      </c>
      <c r="S312" s="184">
        <f t="shared" si="22"/>
        <v>0</v>
      </c>
      <c r="T312" s="185"/>
      <c r="U312" s="134">
        <f t="shared" si="19"/>
        <v>0</v>
      </c>
    </row>
    <row r="313" spans="1:21" ht="15.75">
      <c r="A313" s="197" t="s">
        <v>18</v>
      </c>
      <c r="B313" s="198">
        <v>10</v>
      </c>
      <c r="C313" s="198">
        <v>1</v>
      </c>
      <c r="D313" s="205"/>
      <c r="E313" s="186" t="s">
        <v>111</v>
      </c>
      <c r="F313" s="200"/>
      <c r="G313" s="181">
        <v>0</v>
      </c>
      <c r="H313" s="169"/>
      <c r="I313" s="170"/>
      <c r="J313" s="171">
        <v>0</v>
      </c>
      <c r="K313" s="171">
        <f t="shared" si="20"/>
        <v>0</v>
      </c>
      <c r="L313" s="169"/>
      <c r="M313" s="170"/>
      <c r="N313" s="171">
        <v>0</v>
      </c>
      <c r="O313" s="171">
        <f t="shared" si="21"/>
        <v>0</v>
      </c>
      <c r="P313" s="182"/>
      <c r="Q313" s="170"/>
      <c r="R313" s="183">
        <v>0</v>
      </c>
      <c r="S313" s="184">
        <f t="shared" si="22"/>
        <v>0</v>
      </c>
      <c r="T313" s="188"/>
      <c r="U313" s="134">
        <f t="shared" si="19"/>
        <v>0</v>
      </c>
    </row>
    <row r="314" spans="1:21" ht="15.75">
      <c r="A314" s="197" t="s">
        <v>18</v>
      </c>
      <c r="B314" s="198">
        <v>10</v>
      </c>
      <c r="C314" s="198">
        <v>3</v>
      </c>
      <c r="D314" s="205"/>
      <c r="E314" s="186" t="s">
        <v>112</v>
      </c>
      <c r="F314" s="200"/>
      <c r="G314" s="181">
        <v>0</v>
      </c>
      <c r="H314" s="169"/>
      <c r="I314" s="170"/>
      <c r="J314" s="171">
        <v>0</v>
      </c>
      <c r="K314" s="171">
        <f t="shared" si="20"/>
        <v>0</v>
      </c>
      <c r="L314" s="169"/>
      <c r="M314" s="170"/>
      <c r="N314" s="171">
        <v>0</v>
      </c>
      <c r="O314" s="171">
        <f t="shared" si="21"/>
        <v>0</v>
      </c>
      <c r="P314" s="182"/>
      <c r="Q314" s="170"/>
      <c r="R314" s="183">
        <v>0</v>
      </c>
      <c r="S314" s="184">
        <f t="shared" si="22"/>
        <v>0</v>
      </c>
      <c r="T314" s="185"/>
      <c r="U314" s="134">
        <f t="shared" si="19"/>
        <v>0</v>
      </c>
    </row>
    <row r="315" spans="1:21" ht="15.75">
      <c r="A315" s="203" t="s">
        <v>18</v>
      </c>
      <c r="B315" s="204">
        <v>10</v>
      </c>
      <c r="C315" s="204">
        <v>3</v>
      </c>
      <c r="D315" s="205">
        <v>1</v>
      </c>
      <c r="E315" s="187" t="s">
        <v>451</v>
      </c>
      <c r="F315" s="200" t="s">
        <v>64</v>
      </c>
      <c r="G315" s="181">
        <v>90</v>
      </c>
      <c r="H315" s="227" t="s">
        <v>230</v>
      </c>
      <c r="I315" s="228">
        <f>ROUNDUP(G315*0.16,0)</f>
        <v>15</v>
      </c>
      <c r="J315" s="171">
        <v>52</v>
      </c>
      <c r="K315" s="171">
        <f t="shared" si="20"/>
        <v>97.5</v>
      </c>
      <c r="L315" s="227" t="s">
        <v>231</v>
      </c>
      <c r="M315" s="229">
        <f>1.1/3*G315</f>
        <v>33</v>
      </c>
      <c r="N315" s="171">
        <v>5.64</v>
      </c>
      <c r="O315" s="171">
        <f>M315*N315</f>
        <v>186.11999999999998</v>
      </c>
      <c r="P315" s="171"/>
      <c r="Q315" s="229"/>
      <c r="R315" s="230">
        <v>0</v>
      </c>
      <c r="S315" s="184">
        <f t="shared" si="22"/>
        <v>0</v>
      </c>
      <c r="T315" s="185">
        <f>(SUM(K315:K317,O315:O317,S315:S317)/G315)*1.02</f>
        <v>22.8776361</v>
      </c>
      <c r="U315" s="134">
        <f t="shared" si="19"/>
        <v>2058.987249</v>
      </c>
    </row>
    <row r="316" spans="1:20" ht="15.75">
      <c r="A316" s="203"/>
      <c r="B316" s="204"/>
      <c r="C316" s="204"/>
      <c r="D316" s="205"/>
      <c r="E316" s="187"/>
      <c r="F316" s="200"/>
      <c r="G316" s="181"/>
      <c r="H316" s="227" t="s">
        <v>129</v>
      </c>
      <c r="I316" s="228">
        <f>ROUNDUP(G315*0.16,0)</f>
        <v>15</v>
      </c>
      <c r="J316" s="171">
        <v>26</v>
      </c>
      <c r="K316" s="171">
        <f t="shared" si="20"/>
        <v>48.75</v>
      </c>
      <c r="L316" s="227" t="s">
        <v>232</v>
      </c>
      <c r="M316" s="229">
        <f>3*G315</f>
        <v>270</v>
      </c>
      <c r="N316" s="171">
        <v>3</v>
      </c>
      <c r="O316" s="171">
        <f>M316*N316</f>
        <v>810</v>
      </c>
      <c r="P316" s="171"/>
      <c r="Q316" s="229"/>
      <c r="R316" s="230">
        <v>0</v>
      </c>
      <c r="S316" s="184">
        <f t="shared" si="22"/>
        <v>0</v>
      </c>
      <c r="T316" s="185"/>
    </row>
    <row r="317" spans="1:20" ht="15.75">
      <c r="A317" s="203"/>
      <c r="B317" s="204"/>
      <c r="C317" s="204"/>
      <c r="D317" s="205"/>
      <c r="E317" s="187"/>
      <c r="F317" s="200"/>
      <c r="G317" s="181"/>
      <c r="H317" s="227"/>
      <c r="I317" s="228"/>
      <c r="J317" s="171">
        <v>0</v>
      </c>
      <c r="K317" s="171">
        <f t="shared" si="20"/>
        <v>0</v>
      </c>
      <c r="L317" s="227" t="s">
        <v>233</v>
      </c>
      <c r="M317" s="229">
        <f>4*G315</f>
        <v>360</v>
      </c>
      <c r="N317" s="171">
        <v>2.43401375</v>
      </c>
      <c r="O317" s="171">
        <f>M317*N317</f>
        <v>876.24495</v>
      </c>
      <c r="P317" s="171"/>
      <c r="Q317" s="229"/>
      <c r="R317" s="230">
        <v>0</v>
      </c>
      <c r="S317" s="184">
        <f t="shared" si="22"/>
        <v>0</v>
      </c>
      <c r="T317" s="185"/>
    </row>
    <row r="318" spans="1:21" ht="15.75">
      <c r="A318" s="197" t="s">
        <v>18</v>
      </c>
      <c r="B318" s="198">
        <v>10</v>
      </c>
      <c r="C318" s="198">
        <v>4</v>
      </c>
      <c r="D318" s="205"/>
      <c r="E318" s="186" t="s">
        <v>113</v>
      </c>
      <c r="F318" s="200"/>
      <c r="G318" s="181">
        <v>0</v>
      </c>
      <c r="H318" s="169"/>
      <c r="I318" s="170"/>
      <c r="J318" s="171">
        <v>0</v>
      </c>
      <c r="K318" s="171">
        <f t="shared" si="20"/>
        <v>0</v>
      </c>
      <c r="L318" s="169"/>
      <c r="M318" s="170"/>
      <c r="N318" s="171">
        <v>0</v>
      </c>
      <c r="O318" s="171">
        <f t="shared" si="21"/>
        <v>0</v>
      </c>
      <c r="P318" s="182"/>
      <c r="Q318" s="170"/>
      <c r="R318" s="183">
        <v>0</v>
      </c>
      <c r="S318" s="184">
        <f t="shared" si="22"/>
        <v>0</v>
      </c>
      <c r="T318" s="185"/>
      <c r="U318" s="134">
        <f>T318*G318</f>
        <v>0</v>
      </c>
    </row>
    <row r="319" spans="1:21" ht="105.75">
      <c r="A319" s="203" t="s">
        <v>18</v>
      </c>
      <c r="B319" s="204">
        <v>10</v>
      </c>
      <c r="C319" s="204">
        <v>4</v>
      </c>
      <c r="D319" s="205">
        <v>1</v>
      </c>
      <c r="E319" s="223" t="s">
        <v>452</v>
      </c>
      <c r="F319" s="200" t="s">
        <v>73</v>
      </c>
      <c r="G319" s="181">
        <v>1</v>
      </c>
      <c r="H319" s="227"/>
      <c r="I319" s="228"/>
      <c r="J319" s="171">
        <v>0</v>
      </c>
      <c r="K319" s="171">
        <f t="shared" si="20"/>
        <v>0</v>
      </c>
      <c r="L319" s="227" t="s">
        <v>234</v>
      </c>
      <c r="M319" s="229">
        <f>1*G319</f>
        <v>1</v>
      </c>
      <c r="N319" s="171">
        <v>502.47</v>
      </c>
      <c r="O319" s="171">
        <f t="shared" si="21"/>
        <v>502.47</v>
      </c>
      <c r="P319" s="171"/>
      <c r="Q319" s="229"/>
      <c r="R319" s="230">
        <v>0</v>
      </c>
      <c r="S319" s="184">
        <f t="shared" si="22"/>
        <v>0</v>
      </c>
      <c r="T319" s="185">
        <f>(SUM(K319,O319,S319)/G319)*1.02</f>
        <v>512.5194</v>
      </c>
      <c r="U319" s="134">
        <f>T319*G319</f>
        <v>512.5194</v>
      </c>
    </row>
    <row r="320" spans="1:20" ht="15.75">
      <c r="A320" s="203"/>
      <c r="B320" s="204"/>
      <c r="C320" s="204"/>
      <c r="D320" s="205"/>
      <c r="E320" s="223"/>
      <c r="F320" s="200"/>
      <c r="G320" s="181"/>
      <c r="H320" s="169"/>
      <c r="I320" s="170"/>
      <c r="J320" s="171">
        <v>0</v>
      </c>
      <c r="K320" s="171"/>
      <c r="L320" s="169"/>
      <c r="M320" s="170"/>
      <c r="N320" s="171">
        <v>0</v>
      </c>
      <c r="O320" s="171"/>
      <c r="P320" s="182"/>
      <c r="Q320" s="170"/>
      <c r="R320" s="183"/>
      <c r="S320" s="184"/>
      <c r="T320" s="185"/>
    </row>
    <row r="321" spans="1:21" ht="15.75">
      <c r="A321" s="197" t="s">
        <v>18</v>
      </c>
      <c r="B321" s="198">
        <v>10</v>
      </c>
      <c r="C321" s="198">
        <v>5</v>
      </c>
      <c r="D321" s="205"/>
      <c r="E321" s="186" t="s">
        <v>114</v>
      </c>
      <c r="F321" s="200"/>
      <c r="G321" s="181">
        <v>0</v>
      </c>
      <c r="H321" s="169"/>
      <c r="I321" s="170"/>
      <c r="J321" s="171">
        <v>0</v>
      </c>
      <c r="K321" s="171">
        <f t="shared" si="20"/>
        <v>0</v>
      </c>
      <c r="L321" s="169"/>
      <c r="M321" s="170"/>
      <c r="N321" s="171">
        <v>0</v>
      </c>
      <c r="O321" s="171">
        <f t="shared" si="21"/>
        <v>0</v>
      </c>
      <c r="P321" s="182"/>
      <c r="Q321" s="170"/>
      <c r="R321" s="183">
        <v>0</v>
      </c>
      <c r="S321" s="184">
        <f t="shared" si="22"/>
        <v>0</v>
      </c>
      <c r="T321" s="185"/>
      <c r="U321" s="134">
        <f>T321*G321</f>
        <v>0</v>
      </c>
    </row>
    <row r="322" spans="1:21" ht="54">
      <c r="A322" s="203" t="s">
        <v>18</v>
      </c>
      <c r="B322" s="204">
        <v>10</v>
      </c>
      <c r="C322" s="204">
        <v>5</v>
      </c>
      <c r="D322" s="205">
        <v>1</v>
      </c>
      <c r="E322" s="187" t="s">
        <v>453</v>
      </c>
      <c r="F322" s="200" t="s">
        <v>73</v>
      </c>
      <c r="G322" s="181">
        <v>15</v>
      </c>
      <c r="H322" s="169"/>
      <c r="I322" s="170"/>
      <c r="J322" s="171">
        <v>0</v>
      </c>
      <c r="K322" s="171">
        <f t="shared" si="20"/>
        <v>0</v>
      </c>
      <c r="L322" s="169"/>
      <c r="M322" s="170"/>
      <c r="N322" s="171">
        <v>0</v>
      </c>
      <c r="O322" s="171">
        <f t="shared" si="21"/>
        <v>0</v>
      </c>
      <c r="P322" s="182"/>
      <c r="Q322" s="170"/>
      <c r="R322" s="183">
        <v>0</v>
      </c>
      <c r="S322" s="184">
        <f t="shared" si="22"/>
        <v>0</v>
      </c>
      <c r="T322" s="185">
        <f>(SUM(K322,O322,S322)/G322)*1.02</f>
        <v>0</v>
      </c>
      <c r="U322" s="134">
        <f>T322*G322</f>
        <v>0</v>
      </c>
    </row>
    <row r="323" spans="1:21" ht="15.75">
      <c r="A323" s="197" t="s">
        <v>18</v>
      </c>
      <c r="B323" s="198">
        <v>10</v>
      </c>
      <c r="C323" s="198">
        <v>6</v>
      </c>
      <c r="D323" s="205"/>
      <c r="E323" s="186" t="s">
        <v>115</v>
      </c>
      <c r="F323" s="200"/>
      <c r="G323" s="181">
        <v>0</v>
      </c>
      <c r="H323" s="169"/>
      <c r="I323" s="170"/>
      <c r="J323" s="171">
        <v>0</v>
      </c>
      <c r="K323" s="171">
        <f t="shared" si="20"/>
        <v>0</v>
      </c>
      <c r="L323" s="169"/>
      <c r="M323" s="170"/>
      <c r="N323" s="171">
        <v>0</v>
      </c>
      <c r="O323" s="171">
        <f t="shared" si="21"/>
        <v>0</v>
      </c>
      <c r="P323" s="182"/>
      <c r="Q323" s="170"/>
      <c r="R323" s="183">
        <v>0</v>
      </c>
      <c r="S323" s="184">
        <f t="shared" si="22"/>
        <v>0</v>
      </c>
      <c r="T323" s="185"/>
      <c r="U323" s="134">
        <f>T323*G323</f>
        <v>0</v>
      </c>
    </row>
    <row r="324" spans="1:21" ht="15.75">
      <c r="A324" s="203" t="s">
        <v>18</v>
      </c>
      <c r="B324" s="204">
        <v>10</v>
      </c>
      <c r="C324" s="204">
        <v>6</v>
      </c>
      <c r="D324" s="205">
        <v>1</v>
      </c>
      <c r="E324" s="187" t="s">
        <v>454</v>
      </c>
      <c r="F324" s="200" t="s">
        <v>73</v>
      </c>
      <c r="G324" s="181">
        <v>10</v>
      </c>
      <c r="H324" s="227" t="s">
        <v>230</v>
      </c>
      <c r="I324" s="228">
        <f>ROUNDUP(G324/2,0)</f>
        <v>5</v>
      </c>
      <c r="J324" s="171">
        <v>52</v>
      </c>
      <c r="K324" s="171">
        <f t="shared" si="20"/>
        <v>32.5</v>
      </c>
      <c r="L324" s="227" t="s">
        <v>235</v>
      </c>
      <c r="M324" s="229">
        <f>3*G324</f>
        <v>30</v>
      </c>
      <c r="N324" s="171">
        <v>0.85</v>
      </c>
      <c r="O324" s="171">
        <f t="shared" si="21"/>
        <v>25.5</v>
      </c>
      <c r="P324" s="231"/>
      <c r="Q324" s="232"/>
      <c r="R324" s="230">
        <v>0</v>
      </c>
      <c r="S324" s="184">
        <f t="shared" si="22"/>
        <v>0</v>
      </c>
      <c r="T324" s="185">
        <f>(SUM(K324:K326,O324:O326,S324:S326)/G324)*1.02</f>
        <v>48.3225</v>
      </c>
      <c r="U324" s="134">
        <f>T324*G324</f>
        <v>483.22499999999997</v>
      </c>
    </row>
    <row r="325" spans="1:20" ht="15.75">
      <c r="A325" s="203"/>
      <c r="B325" s="204"/>
      <c r="C325" s="204"/>
      <c r="D325" s="205"/>
      <c r="E325" s="187"/>
      <c r="F325" s="200"/>
      <c r="G325" s="181"/>
      <c r="H325" s="227" t="s">
        <v>129</v>
      </c>
      <c r="I325" s="228">
        <f>ROUNDUP(G324/2,0)</f>
        <v>5</v>
      </c>
      <c r="J325" s="171">
        <v>26</v>
      </c>
      <c r="K325" s="171">
        <f t="shared" si="20"/>
        <v>16.25</v>
      </c>
      <c r="L325" s="227" t="s">
        <v>236</v>
      </c>
      <c r="M325" s="229">
        <f>9*G324</f>
        <v>90</v>
      </c>
      <c r="N325" s="171">
        <v>0.55</v>
      </c>
      <c r="O325" s="171">
        <f t="shared" si="21"/>
        <v>49.50000000000001</v>
      </c>
      <c r="P325" s="231"/>
      <c r="Q325" s="232"/>
      <c r="R325" s="230">
        <v>0</v>
      </c>
      <c r="S325" s="184">
        <f t="shared" si="22"/>
        <v>0</v>
      </c>
      <c r="T325" s="185"/>
    </row>
    <row r="326" spans="1:20" ht="15.75">
      <c r="A326" s="203"/>
      <c r="B326" s="204"/>
      <c r="C326" s="204"/>
      <c r="D326" s="205"/>
      <c r="E326" s="187"/>
      <c r="F326" s="200"/>
      <c r="G326" s="181"/>
      <c r="H326" s="221"/>
      <c r="I326" s="233"/>
      <c r="J326" s="171">
        <v>0</v>
      </c>
      <c r="K326" s="171">
        <f t="shared" si="20"/>
        <v>0</v>
      </c>
      <c r="L326" s="227" t="s">
        <v>237</v>
      </c>
      <c r="M326" s="229">
        <f>1*G324</f>
        <v>10</v>
      </c>
      <c r="N326" s="171">
        <v>35</v>
      </c>
      <c r="O326" s="171">
        <f t="shared" si="21"/>
        <v>350</v>
      </c>
      <c r="P326" s="231"/>
      <c r="Q326" s="232"/>
      <c r="R326" s="230">
        <v>0</v>
      </c>
      <c r="S326" s="184">
        <f t="shared" si="22"/>
        <v>0</v>
      </c>
      <c r="T326" s="185"/>
    </row>
    <row r="327" spans="1:21" ht="15.75">
      <c r="A327" s="203" t="s">
        <v>18</v>
      </c>
      <c r="B327" s="204">
        <v>10</v>
      </c>
      <c r="C327" s="204">
        <v>6</v>
      </c>
      <c r="D327" s="205">
        <v>3</v>
      </c>
      <c r="E327" s="187" t="s">
        <v>455</v>
      </c>
      <c r="F327" s="200" t="s">
        <v>73</v>
      </c>
      <c r="G327" s="181">
        <v>10</v>
      </c>
      <c r="H327" s="227" t="s">
        <v>230</v>
      </c>
      <c r="I327" s="228">
        <f>ROUNDUP(G327/2,0)</f>
        <v>5</v>
      </c>
      <c r="J327" s="171">
        <v>52</v>
      </c>
      <c r="K327" s="171">
        <f t="shared" si="20"/>
        <v>32.5</v>
      </c>
      <c r="L327" s="227" t="s">
        <v>235</v>
      </c>
      <c r="M327" s="229">
        <f>3*G327</f>
        <v>30</v>
      </c>
      <c r="N327" s="171">
        <v>0.85</v>
      </c>
      <c r="O327" s="171">
        <f t="shared" si="21"/>
        <v>25.5</v>
      </c>
      <c r="P327" s="231"/>
      <c r="Q327" s="232"/>
      <c r="R327" s="230">
        <v>0</v>
      </c>
      <c r="S327" s="184">
        <f t="shared" si="22"/>
        <v>0</v>
      </c>
      <c r="T327" s="185">
        <f>(SUM(K327:K329,O327:O329,S327:S329)/G327)*1.02</f>
        <v>63.6225</v>
      </c>
      <c r="U327" s="134">
        <f>T327*G327</f>
        <v>636.225</v>
      </c>
    </row>
    <row r="328" spans="1:20" ht="15.75">
      <c r="A328" s="203"/>
      <c r="B328" s="204"/>
      <c r="C328" s="204"/>
      <c r="D328" s="205"/>
      <c r="E328" s="187"/>
      <c r="F328" s="200"/>
      <c r="G328" s="181"/>
      <c r="H328" s="227" t="s">
        <v>129</v>
      </c>
      <c r="I328" s="228">
        <f>ROUNDUP(G327/2,0)</f>
        <v>5</v>
      </c>
      <c r="J328" s="171">
        <v>26</v>
      </c>
      <c r="K328" s="171">
        <f t="shared" si="20"/>
        <v>16.25</v>
      </c>
      <c r="L328" s="227" t="s">
        <v>236</v>
      </c>
      <c r="M328" s="229">
        <f>9*G327</f>
        <v>90</v>
      </c>
      <c r="N328" s="171">
        <v>0.55</v>
      </c>
      <c r="O328" s="171">
        <f t="shared" si="21"/>
        <v>49.50000000000001</v>
      </c>
      <c r="P328" s="231"/>
      <c r="Q328" s="232"/>
      <c r="R328" s="230">
        <v>0</v>
      </c>
      <c r="S328" s="184">
        <f t="shared" si="22"/>
        <v>0</v>
      </c>
      <c r="T328" s="185"/>
    </row>
    <row r="329" spans="1:20" ht="15.75">
      <c r="A329" s="203"/>
      <c r="B329" s="204"/>
      <c r="C329" s="204"/>
      <c r="D329" s="205"/>
      <c r="E329" s="187"/>
      <c r="F329" s="200"/>
      <c r="G329" s="181"/>
      <c r="H329" s="221"/>
      <c r="I329" s="233"/>
      <c r="J329" s="171">
        <v>0</v>
      </c>
      <c r="K329" s="171">
        <f t="shared" si="20"/>
        <v>0</v>
      </c>
      <c r="L329" s="227" t="s">
        <v>238</v>
      </c>
      <c r="M329" s="229">
        <f>1*G327</f>
        <v>10</v>
      </c>
      <c r="N329" s="171">
        <v>50</v>
      </c>
      <c r="O329" s="171">
        <f t="shared" si="21"/>
        <v>500</v>
      </c>
      <c r="P329" s="231"/>
      <c r="Q329" s="232"/>
      <c r="R329" s="230">
        <v>0</v>
      </c>
      <c r="S329" s="184">
        <f t="shared" si="22"/>
        <v>0</v>
      </c>
      <c r="T329" s="185"/>
    </row>
    <row r="330" spans="1:21" ht="15.75">
      <c r="A330" s="197" t="s">
        <v>18</v>
      </c>
      <c r="B330" s="198">
        <v>10</v>
      </c>
      <c r="C330" s="198">
        <v>7</v>
      </c>
      <c r="D330" s="205"/>
      <c r="E330" s="186" t="s">
        <v>116</v>
      </c>
      <c r="F330" s="200"/>
      <c r="G330" s="181">
        <v>0</v>
      </c>
      <c r="H330" s="169"/>
      <c r="I330" s="170"/>
      <c r="J330" s="171">
        <v>0</v>
      </c>
      <c r="K330" s="171">
        <f t="shared" si="20"/>
        <v>0</v>
      </c>
      <c r="L330" s="169"/>
      <c r="M330" s="170"/>
      <c r="N330" s="171">
        <v>0</v>
      </c>
      <c r="O330" s="171">
        <f t="shared" si="21"/>
        <v>0</v>
      </c>
      <c r="P330" s="182"/>
      <c r="Q330" s="170"/>
      <c r="R330" s="183">
        <v>0</v>
      </c>
      <c r="S330" s="184">
        <f t="shared" si="22"/>
        <v>0</v>
      </c>
      <c r="T330" s="185"/>
      <c r="U330" s="134">
        <f>T330*G330</f>
        <v>0</v>
      </c>
    </row>
    <row r="331" spans="1:21" ht="54">
      <c r="A331" s="203" t="s">
        <v>18</v>
      </c>
      <c r="B331" s="204">
        <v>10</v>
      </c>
      <c r="C331" s="204">
        <v>7</v>
      </c>
      <c r="D331" s="205">
        <v>1</v>
      </c>
      <c r="E331" s="187" t="s">
        <v>117</v>
      </c>
      <c r="F331" s="200" t="s">
        <v>73</v>
      </c>
      <c r="G331" s="181">
        <v>10</v>
      </c>
      <c r="H331" s="169"/>
      <c r="I331" s="170"/>
      <c r="J331" s="171">
        <v>0</v>
      </c>
      <c r="K331" s="171">
        <f t="shared" si="20"/>
        <v>0</v>
      </c>
      <c r="L331" s="169"/>
      <c r="M331" s="170"/>
      <c r="N331" s="171">
        <v>0</v>
      </c>
      <c r="O331" s="171">
        <f t="shared" si="21"/>
        <v>0</v>
      </c>
      <c r="P331" s="182"/>
      <c r="Q331" s="170"/>
      <c r="R331" s="183">
        <v>0</v>
      </c>
      <c r="S331" s="184">
        <f t="shared" si="22"/>
        <v>0</v>
      </c>
      <c r="T331" s="185">
        <f>(SUM(K331,O331,S331)/G331)*1.02</f>
        <v>0</v>
      </c>
      <c r="U331" s="134">
        <f>T331*G331</f>
        <v>0</v>
      </c>
    </row>
    <row r="332" spans="1:21" ht="15.75">
      <c r="A332" s="197" t="s">
        <v>18</v>
      </c>
      <c r="B332" s="198">
        <v>10</v>
      </c>
      <c r="C332" s="198">
        <v>7</v>
      </c>
      <c r="D332" s="205"/>
      <c r="E332" s="186" t="s">
        <v>118</v>
      </c>
      <c r="F332" s="200"/>
      <c r="G332" s="181">
        <v>0</v>
      </c>
      <c r="H332" s="169"/>
      <c r="I332" s="170"/>
      <c r="J332" s="171">
        <v>0</v>
      </c>
      <c r="K332" s="171">
        <f t="shared" si="20"/>
        <v>0</v>
      </c>
      <c r="L332" s="169"/>
      <c r="M332" s="170"/>
      <c r="N332" s="171">
        <v>0</v>
      </c>
      <c r="O332" s="171">
        <f t="shared" si="21"/>
        <v>0</v>
      </c>
      <c r="P332" s="182"/>
      <c r="Q332" s="170"/>
      <c r="R332" s="183">
        <v>0</v>
      </c>
      <c r="S332" s="184">
        <f t="shared" si="22"/>
        <v>0</v>
      </c>
      <c r="T332" s="185"/>
      <c r="U332" s="134">
        <f>T332*G332</f>
        <v>0</v>
      </c>
    </row>
    <row r="333" spans="1:21" ht="27.75">
      <c r="A333" s="203" t="s">
        <v>18</v>
      </c>
      <c r="B333" s="204">
        <v>10</v>
      </c>
      <c r="C333" s="204">
        <v>7</v>
      </c>
      <c r="D333" s="205"/>
      <c r="E333" s="187" t="s">
        <v>456</v>
      </c>
      <c r="F333" s="200"/>
      <c r="G333" s="181">
        <v>0</v>
      </c>
      <c r="H333" s="169"/>
      <c r="I333" s="170"/>
      <c r="J333" s="171">
        <v>0</v>
      </c>
      <c r="K333" s="171">
        <f t="shared" si="20"/>
        <v>0</v>
      </c>
      <c r="L333" s="169"/>
      <c r="M333" s="170"/>
      <c r="N333" s="171">
        <v>0</v>
      </c>
      <c r="O333" s="171">
        <f t="shared" si="21"/>
        <v>0</v>
      </c>
      <c r="P333" s="172"/>
      <c r="Q333" s="173"/>
      <c r="R333" s="183">
        <v>0</v>
      </c>
      <c r="S333" s="184">
        <f t="shared" si="22"/>
        <v>0</v>
      </c>
      <c r="T333" s="185"/>
      <c r="U333" s="134">
        <f>T333*G333</f>
        <v>0</v>
      </c>
    </row>
    <row r="334" spans="1:21" ht="15.75">
      <c r="A334" s="203" t="s">
        <v>18</v>
      </c>
      <c r="B334" s="204">
        <v>10</v>
      </c>
      <c r="C334" s="204">
        <v>7</v>
      </c>
      <c r="D334" s="205">
        <v>1</v>
      </c>
      <c r="E334" s="187" t="s">
        <v>457</v>
      </c>
      <c r="F334" s="200" t="s">
        <v>73</v>
      </c>
      <c r="G334" s="181">
        <v>10</v>
      </c>
      <c r="H334" s="227" t="s">
        <v>230</v>
      </c>
      <c r="I334" s="228">
        <f>ROUNDUP(G334/2,0)</f>
        <v>5</v>
      </c>
      <c r="J334" s="171">
        <v>52</v>
      </c>
      <c r="K334" s="171">
        <f t="shared" si="20"/>
        <v>32.5</v>
      </c>
      <c r="L334" s="227" t="s">
        <v>235</v>
      </c>
      <c r="M334" s="229">
        <f>3*G334</f>
        <v>30</v>
      </c>
      <c r="N334" s="171">
        <v>0.85</v>
      </c>
      <c r="O334" s="171">
        <f t="shared" si="21"/>
        <v>25.5</v>
      </c>
      <c r="P334" s="231"/>
      <c r="Q334" s="232"/>
      <c r="R334" s="230">
        <v>0</v>
      </c>
      <c r="S334" s="184">
        <f t="shared" si="22"/>
        <v>0</v>
      </c>
      <c r="T334" s="185">
        <f>(SUM(K334:K336,O334:O336,S334:S336)/G334)*1.02</f>
        <v>48.3225</v>
      </c>
      <c r="U334" s="134">
        <f>T334*G334</f>
        <v>483.22499999999997</v>
      </c>
    </row>
    <row r="335" spans="1:20" ht="15.75">
      <c r="A335" s="203"/>
      <c r="B335" s="204"/>
      <c r="C335" s="204"/>
      <c r="D335" s="205"/>
      <c r="E335" s="187"/>
      <c r="F335" s="200"/>
      <c r="G335" s="181"/>
      <c r="H335" s="227" t="s">
        <v>129</v>
      </c>
      <c r="I335" s="228">
        <f>ROUNDUP(G334/2,0)</f>
        <v>5</v>
      </c>
      <c r="J335" s="171">
        <v>26</v>
      </c>
      <c r="K335" s="171">
        <f t="shared" si="20"/>
        <v>16.25</v>
      </c>
      <c r="L335" s="227" t="s">
        <v>239</v>
      </c>
      <c r="M335" s="229">
        <f>1*G334</f>
        <v>10</v>
      </c>
      <c r="N335" s="171">
        <v>35</v>
      </c>
      <c r="O335" s="171">
        <f t="shared" si="21"/>
        <v>350</v>
      </c>
      <c r="P335" s="231"/>
      <c r="Q335" s="232"/>
      <c r="R335" s="230">
        <v>0</v>
      </c>
      <c r="S335" s="184">
        <f t="shared" si="22"/>
        <v>0</v>
      </c>
      <c r="T335" s="185"/>
    </row>
    <row r="336" spans="1:20" ht="15.75">
      <c r="A336" s="203"/>
      <c r="B336" s="204"/>
      <c r="C336" s="204"/>
      <c r="D336" s="205"/>
      <c r="E336" s="187"/>
      <c r="F336" s="200"/>
      <c r="G336" s="181"/>
      <c r="H336" s="227"/>
      <c r="I336" s="228"/>
      <c r="J336" s="171">
        <v>0</v>
      </c>
      <c r="K336" s="171">
        <f t="shared" si="20"/>
        <v>0</v>
      </c>
      <c r="L336" s="227" t="s">
        <v>236</v>
      </c>
      <c r="M336" s="229">
        <f>9*G334</f>
        <v>90</v>
      </c>
      <c r="N336" s="171">
        <v>0.55</v>
      </c>
      <c r="O336" s="171">
        <f t="shared" si="21"/>
        <v>49.50000000000001</v>
      </c>
      <c r="P336" s="231"/>
      <c r="Q336" s="232"/>
      <c r="R336" s="230">
        <v>0</v>
      </c>
      <c r="S336" s="184">
        <f t="shared" si="22"/>
        <v>0</v>
      </c>
      <c r="T336" s="185"/>
    </row>
    <row r="337" spans="1:21" ht="15.75">
      <c r="A337" s="197" t="s">
        <v>18</v>
      </c>
      <c r="B337" s="198">
        <v>10</v>
      </c>
      <c r="C337" s="198">
        <v>8</v>
      </c>
      <c r="D337" s="205"/>
      <c r="E337" s="186" t="s">
        <v>119</v>
      </c>
      <c r="F337" s="200"/>
      <c r="G337" s="181">
        <v>0</v>
      </c>
      <c r="H337" s="169"/>
      <c r="I337" s="170"/>
      <c r="J337" s="171">
        <v>0</v>
      </c>
      <c r="K337" s="171">
        <f t="shared" si="20"/>
        <v>0</v>
      </c>
      <c r="L337" s="169"/>
      <c r="M337" s="170"/>
      <c r="N337" s="171">
        <v>0</v>
      </c>
      <c r="O337" s="171">
        <f t="shared" si="21"/>
        <v>0</v>
      </c>
      <c r="P337" s="182"/>
      <c r="Q337" s="170"/>
      <c r="R337" s="183">
        <v>0</v>
      </c>
      <c r="S337" s="184">
        <f t="shared" si="22"/>
        <v>0</v>
      </c>
      <c r="T337" s="185"/>
      <c r="U337" s="134">
        <f>T337*G337</f>
        <v>0</v>
      </c>
    </row>
    <row r="338" spans="1:21" ht="27.75">
      <c r="A338" s="203" t="s">
        <v>18</v>
      </c>
      <c r="B338" s="204">
        <v>10</v>
      </c>
      <c r="C338" s="204">
        <v>8</v>
      </c>
      <c r="D338" s="205"/>
      <c r="E338" s="180" t="s">
        <v>458</v>
      </c>
      <c r="F338" s="200"/>
      <c r="G338" s="181">
        <v>0</v>
      </c>
      <c r="H338" s="169"/>
      <c r="I338" s="170"/>
      <c r="J338" s="171">
        <v>0</v>
      </c>
      <c r="K338" s="171">
        <f t="shared" si="20"/>
        <v>0</v>
      </c>
      <c r="L338" s="169"/>
      <c r="M338" s="170"/>
      <c r="N338" s="171">
        <v>0</v>
      </c>
      <c r="O338" s="171">
        <f t="shared" si="21"/>
        <v>0</v>
      </c>
      <c r="P338" s="182"/>
      <c r="Q338" s="170"/>
      <c r="R338" s="183">
        <v>0</v>
      </c>
      <c r="S338" s="184">
        <f t="shared" si="22"/>
        <v>0</v>
      </c>
      <c r="T338" s="185"/>
      <c r="U338" s="134">
        <f>T338*G338</f>
        <v>0</v>
      </c>
    </row>
    <row r="339" spans="1:21" ht="27.75">
      <c r="A339" s="203" t="s">
        <v>18</v>
      </c>
      <c r="B339" s="204">
        <v>10</v>
      </c>
      <c r="C339" s="204">
        <v>8</v>
      </c>
      <c r="D339" s="205">
        <v>1</v>
      </c>
      <c r="E339" s="186" t="s">
        <v>459</v>
      </c>
      <c r="F339" s="200" t="s">
        <v>73</v>
      </c>
      <c r="G339" s="181">
        <v>5</v>
      </c>
      <c r="H339" s="227" t="s">
        <v>230</v>
      </c>
      <c r="I339" s="228">
        <f>ROUNDUP(G339/2,0)</f>
        <v>3</v>
      </c>
      <c r="J339" s="171">
        <v>52</v>
      </c>
      <c r="K339" s="171">
        <f t="shared" si="20"/>
        <v>19.5</v>
      </c>
      <c r="L339" s="227" t="s">
        <v>235</v>
      </c>
      <c r="M339" s="229">
        <f>1*G339</f>
        <v>5</v>
      </c>
      <c r="N339" s="171">
        <v>0.85</v>
      </c>
      <c r="O339" s="171">
        <f t="shared" si="21"/>
        <v>4.25</v>
      </c>
      <c r="P339" s="231"/>
      <c r="Q339" s="232"/>
      <c r="R339" s="230">
        <v>0</v>
      </c>
      <c r="S339" s="184">
        <f t="shared" si="22"/>
        <v>0</v>
      </c>
      <c r="T339" s="185">
        <f>(SUM(K339:K340,O339:O340,S339:S340)/G339)*1.02</f>
        <v>465.834</v>
      </c>
      <c r="U339" s="134">
        <f>T339*G339</f>
        <v>2329.17</v>
      </c>
    </row>
    <row r="340" spans="1:20" ht="15.75">
      <c r="A340" s="203"/>
      <c r="B340" s="204"/>
      <c r="C340" s="204"/>
      <c r="D340" s="205"/>
      <c r="E340" s="186"/>
      <c r="F340" s="200"/>
      <c r="G340" s="181"/>
      <c r="H340" s="227" t="s">
        <v>129</v>
      </c>
      <c r="I340" s="228">
        <f>ROUNDUP(G339/2,0)</f>
        <v>3</v>
      </c>
      <c r="J340" s="171">
        <v>26</v>
      </c>
      <c r="K340" s="171">
        <f t="shared" si="20"/>
        <v>9.75</v>
      </c>
      <c r="L340" s="227" t="s">
        <v>240</v>
      </c>
      <c r="M340" s="229">
        <f>1*G339</f>
        <v>5</v>
      </c>
      <c r="N340" s="171">
        <v>450</v>
      </c>
      <c r="O340" s="171">
        <f t="shared" si="21"/>
        <v>2250</v>
      </c>
      <c r="P340" s="231"/>
      <c r="Q340" s="232"/>
      <c r="R340" s="230">
        <v>0</v>
      </c>
      <c r="S340" s="184">
        <f t="shared" si="22"/>
        <v>0</v>
      </c>
      <c r="T340" s="185"/>
    </row>
    <row r="341" spans="1:21" ht="15.75">
      <c r="A341" s="203" t="s">
        <v>18</v>
      </c>
      <c r="B341" s="204">
        <v>10</v>
      </c>
      <c r="C341" s="204">
        <v>8</v>
      </c>
      <c r="D341" s="205">
        <v>2</v>
      </c>
      <c r="E341" s="186" t="s">
        <v>460</v>
      </c>
      <c r="F341" s="200" t="s">
        <v>73</v>
      </c>
      <c r="G341" s="181">
        <v>10</v>
      </c>
      <c r="H341" s="227" t="s">
        <v>230</v>
      </c>
      <c r="I341" s="228">
        <f>ROUNDUP(G341/2,0)</f>
        <v>5</v>
      </c>
      <c r="J341" s="171">
        <v>52</v>
      </c>
      <c r="K341" s="171">
        <f t="shared" si="20"/>
        <v>32.5</v>
      </c>
      <c r="L341" s="227" t="s">
        <v>235</v>
      </c>
      <c r="M341" s="229">
        <f>1*G341</f>
        <v>10</v>
      </c>
      <c r="N341" s="171">
        <v>0.85</v>
      </c>
      <c r="O341" s="171">
        <f t="shared" si="21"/>
        <v>8.5</v>
      </c>
      <c r="P341" s="231"/>
      <c r="Q341" s="232"/>
      <c r="R341" s="230">
        <v>0</v>
      </c>
      <c r="S341" s="184">
        <f t="shared" si="22"/>
        <v>0</v>
      </c>
      <c r="T341" s="185">
        <f>(SUM(K341:K342,O341:O342,S341:S342)/G341)*1.02</f>
        <v>413.83950000000004</v>
      </c>
      <c r="U341" s="134">
        <f>T341*G341</f>
        <v>4138.395</v>
      </c>
    </row>
    <row r="342" spans="1:20" ht="15.75">
      <c r="A342" s="234"/>
      <c r="B342" s="235"/>
      <c r="C342" s="235"/>
      <c r="D342" s="236"/>
      <c r="E342" s="237"/>
      <c r="F342" s="238"/>
      <c r="G342" s="239"/>
      <c r="H342" s="227" t="s">
        <v>129</v>
      </c>
      <c r="I342" s="228">
        <f>ROUNDUP(G341/2,0)</f>
        <v>5</v>
      </c>
      <c r="J342" s="171">
        <v>26</v>
      </c>
      <c r="K342" s="171">
        <f>I342*J342/8</f>
        <v>16.25</v>
      </c>
      <c r="L342" s="227" t="s">
        <v>241</v>
      </c>
      <c r="M342" s="229">
        <f>1*G341</f>
        <v>10</v>
      </c>
      <c r="N342" s="171">
        <v>400</v>
      </c>
      <c r="O342" s="171">
        <f>M342*N342</f>
        <v>4000</v>
      </c>
      <c r="P342" s="240"/>
      <c r="Q342" s="241"/>
      <c r="R342" s="230">
        <v>0</v>
      </c>
      <c r="S342" s="184">
        <f>R342*Q342</f>
        <v>0</v>
      </c>
      <c r="T342" s="242"/>
    </row>
    <row r="343" spans="1:20" ht="16.5" thickBot="1">
      <c r="A343" s="243" t="s">
        <v>18</v>
      </c>
      <c r="B343" s="244">
        <v>10</v>
      </c>
      <c r="C343" s="244"/>
      <c r="D343" s="245"/>
      <c r="E343" s="246" t="s">
        <v>37</v>
      </c>
      <c r="F343" s="247"/>
      <c r="G343" s="248"/>
      <c r="H343" s="249"/>
      <c r="I343" s="250"/>
      <c r="J343" s="249"/>
      <c r="K343" s="249"/>
      <c r="L343" s="249"/>
      <c r="M343" s="250"/>
      <c r="N343" s="249"/>
      <c r="O343" s="249"/>
      <c r="P343" s="251"/>
      <c r="Q343" s="250"/>
      <c r="R343" s="251"/>
      <c r="S343" s="252"/>
      <c r="T343" s="253"/>
    </row>
    <row r="344" ht="16.5" thickTop="1"/>
    <row r="345" ht="15.75">
      <c r="U345" s="134">
        <f>SUM(U8:U343)</f>
        <v>244991.44596710685</v>
      </c>
    </row>
  </sheetData>
  <sheetProtection/>
  <autoFilter ref="A1:V344"/>
  <printOptions gridLines="1"/>
  <pageMargins left="0.5905511811023623" right="0.3937007874015748" top="0.7480314960629921" bottom="0.5118110236220472" header="0.2362204724409449" footer="0.2362204724409449"/>
  <pageSetup fitToHeight="20" horizontalDpi="600" verticalDpi="600" orientation="landscape" paperSize="9" scale="91"/>
  <headerFooter alignWithMargins="0">
    <oddFooter>&amp;CPage &amp;P&amp;R&amp;A</oddFooter>
  </headerFooter>
  <rowBreaks count="8" manualBreakCount="8">
    <brk id="27" max="255" man="1"/>
    <brk id="54" max="21" man="1"/>
    <brk id="82" max="21" man="1"/>
    <brk id="137" max="21" man="1"/>
    <brk id="159" max="21" man="1"/>
    <brk id="184" max="21" man="1"/>
    <brk id="215" max="21" man="1"/>
    <brk id="244" max="21" man="1"/>
  </rowBreaks>
</worksheet>
</file>

<file path=xl/worksheets/sheet4.xml><?xml version="1.0" encoding="utf-8"?>
<worksheet xmlns="http://schemas.openxmlformats.org/spreadsheetml/2006/main" xmlns:r="http://schemas.openxmlformats.org/officeDocument/2006/relationships">
  <sheetPr>
    <pageSetUpPr fitToPage="1"/>
  </sheetPr>
  <dimension ref="A1:W124"/>
  <sheetViews>
    <sheetView zoomScalePageLayoutView="0" workbookViewId="0" topLeftCell="C1">
      <selection activeCell="J30" sqref="J30"/>
    </sheetView>
  </sheetViews>
  <sheetFormatPr defaultColWidth="9.140625" defaultRowHeight="12.75"/>
  <cols>
    <col min="1" max="1" width="9.140625" style="93" customWidth="1"/>
    <col min="2" max="2" width="6.00390625" style="93" customWidth="1"/>
    <col min="3" max="3" width="24.7109375" style="93" customWidth="1"/>
    <col min="4" max="4" width="11.00390625" style="93" customWidth="1"/>
    <col min="5" max="5" width="11.7109375" style="93" customWidth="1"/>
    <col min="6" max="6" width="15.7109375" style="93" customWidth="1"/>
    <col min="7" max="8" width="13.7109375" style="93" bestFit="1" customWidth="1"/>
    <col min="9" max="9" width="7.28125" style="93" bestFit="1" customWidth="1"/>
    <col min="10" max="10" width="25.7109375" style="93" customWidth="1"/>
    <col min="11" max="11" width="7.00390625" style="93" customWidth="1"/>
    <col min="12" max="12" width="9.7109375" style="93" bestFit="1" customWidth="1"/>
    <col min="13" max="13" width="10.28125" style="93" bestFit="1" customWidth="1"/>
    <col min="14" max="14" width="13.7109375" style="93" bestFit="1" customWidth="1"/>
    <col min="15" max="15" width="3.140625" style="93" customWidth="1"/>
    <col min="16" max="16" width="6.140625" style="93" bestFit="1" customWidth="1"/>
    <col min="17" max="17" width="24.7109375" style="93" customWidth="1"/>
    <col min="18" max="18" width="15.140625" style="93" bestFit="1" customWidth="1"/>
    <col min="19" max="19" width="9.140625" style="93" customWidth="1"/>
    <col min="20" max="20" width="12.140625" style="93" bestFit="1" customWidth="1"/>
    <col min="21" max="16384" width="9.140625" style="93" customWidth="1"/>
  </cols>
  <sheetData>
    <row r="1" spans="4:23" ht="12.75">
      <c r="D1" s="95"/>
      <c r="E1" s="95"/>
      <c r="F1" s="95"/>
      <c r="G1" s="95"/>
      <c r="H1" s="95"/>
      <c r="I1" s="95"/>
      <c r="J1" s="88"/>
      <c r="K1" s="100"/>
      <c r="L1" s="97"/>
      <c r="M1" s="97"/>
      <c r="N1" s="97"/>
      <c r="O1" s="91"/>
      <c r="P1" s="91"/>
      <c r="Q1" s="98"/>
      <c r="R1" s="98"/>
      <c r="S1" s="98"/>
      <c r="T1" s="98"/>
      <c r="U1" s="99"/>
      <c r="V1" s="99"/>
      <c r="W1" s="99"/>
    </row>
    <row r="2" spans="1:23" ht="12.75">
      <c r="A2" s="135" t="s">
        <v>242</v>
      </c>
      <c r="B2" s="136"/>
      <c r="D2" s="95"/>
      <c r="E2" s="95"/>
      <c r="F2" s="95"/>
      <c r="G2" s="95"/>
      <c r="H2" s="95"/>
      <c r="I2" s="95"/>
      <c r="J2" s="88"/>
      <c r="K2" s="100"/>
      <c r="L2" s="97"/>
      <c r="M2" s="97"/>
      <c r="N2" s="97"/>
      <c r="O2" s="91"/>
      <c r="P2" s="91"/>
      <c r="Q2" s="98"/>
      <c r="R2" s="98"/>
      <c r="S2" s="98"/>
      <c r="T2" s="98"/>
      <c r="U2" s="99"/>
      <c r="V2" s="99"/>
      <c r="W2" s="99"/>
    </row>
    <row r="3" spans="2:23" ht="12.75">
      <c r="B3" s="93" t="s">
        <v>283</v>
      </c>
      <c r="D3" s="95"/>
      <c r="E3" s="95"/>
      <c r="F3" s="95"/>
      <c r="G3" s="95"/>
      <c r="H3" s="95"/>
      <c r="I3" s="95"/>
      <c r="J3" s="88"/>
      <c r="K3" s="254"/>
      <c r="L3" s="97"/>
      <c r="M3" s="97"/>
      <c r="N3" s="97"/>
      <c r="O3" s="91"/>
      <c r="P3" s="91"/>
      <c r="Q3" s="98"/>
      <c r="R3" s="98"/>
      <c r="S3" s="98"/>
      <c r="T3" s="98"/>
      <c r="U3" s="99"/>
      <c r="V3" s="99"/>
      <c r="W3" s="99"/>
    </row>
    <row r="4" spans="2:23" ht="12.75">
      <c r="B4" s="136"/>
      <c r="D4" s="95"/>
      <c r="E4" s="95"/>
      <c r="F4" s="95"/>
      <c r="G4" s="95"/>
      <c r="H4" s="95"/>
      <c r="I4" s="95"/>
      <c r="J4" s="88"/>
      <c r="K4" s="100"/>
      <c r="L4" s="97"/>
      <c r="M4" s="97"/>
      <c r="N4" s="97"/>
      <c r="O4" s="91" t="s">
        <v>10</v>
      </c>
      <c r="P4" s="91"/>
      <c r="Q4" s="98"/>
      <c r="R4" s="98"/>
      <c r="S4" s="98"/>
      <c r="T4" s="98"/>
      <c r="U4" s="99"/>
      <c r="V4" s="99"/>
      <c r="W4" s="99"/>
    </row>
    <row r="5" spans="2:6" s="109" customFormat="1" ht="13.5" thickBot="1">
      <c r="B5" s="316" t="s">
        <v>244</v>
      </c>
      <c r="C5" s="316"/>
      <c r="D5" s="316"/>
      <c r="E5" s="255"/>
      <c r="F5" s="255"/>
    </row>
    <row r="6" spans="2:8" s="256" customFormat="1" ht="33.75" thickBot="1" thickTop="1">
      <c r="B6" s="257" t="s">
        <v>247</v>
      </c>
      <c r="C6" s="258" t="s">
        <v>248</v>
      </c>
      <c r="D6" s="291" t="s">
        <v>466</v>
      </c>
      <c r="E6" s="306" t="s">
        <v>250</v>
      </c>
      <c r="G6" s="259" t="s">
        <v>249</v>
      </c>
      <c r="H6" s="260" t="s">
        <v>251</v>
      </c>
    </row>
    <row r="7" spans="2:9" ht="16.5" thickTop="1">
      <c r="B7" s="261">
        <v>1</v>
      </c>
      <c r="C7" s="262" t="s">
        <v>152</v>
      </c>
      <c r="D7" s="292">
        <f aca="true" t="shared" si="0" ref="D7:D22">E7/8</f>
        <v>4.875</v>
      </c>
      <c r="E7" s="307">
        <v>39</v>
      </c>
      <c r="G7" s="263">
        <v>18</v>
      </c>
      <c r="H7" s="264">
        <f>(G7*E7)/8</f>
        <v>87.75</v>
      </c>
      <c r="I7" s="265"/>
    </row>
    <row r="8" spans="2:9" ht="15.75">
      <c r="B8" s="266">
        <v>2</v>
      </c>
      <c r="C8" s="192" t="s">
        <v>144</v>
      </c>
      <c r="D8" s="293">
        <f t="shared" si="0"/>
        <v>4.875</v>
      </c>
      <c r="E8" s="185">
        <v>39</v>
      </c>
      <c r="G8" s="267">
        <v>569</v>
      </c>
      <c r="H8" s="268">
        <f aca="true" t="shared" si="1" ref="H8:H20">(G8*E8)/8</f>
        <v>2773.875</v>
      </c>
      <c r="I8" s="265"/>
    </row>
    <row r="9" spans="2:9" ht="15.75">
      <c r="B9" s="266">
        <v>3</v>
      </c>
      <c r="C9" s="192" t="s">
        <v>156</v>
      </c>
      <c r="D9" s="293">
        <f t="shared" si="0"/>
        <v>4.875</v>
      </c>
      <c r="E9" s="185">
        <v>39</v>
      </c>
      <c r="G9" s="267">
        <v>397</v>
      </c>
      <c r="H9" s="268">
        <f t="shared" si="1"/>
        <v>1935.375</v>
      </c>
      <c r="I9" s="265"/>
    </row>
    <row r="10" spans="2:9" ht="15.75">
      <c r="B10" s="266">
        <v>4</v>
      </c>
      <c r="C10" s="192" t="s">
        <v>150</v>
      </c>
      <c r="D10" s="293">
        <f t="shared" si="0"/>
        <v>6.5</v>
      </c>
      <c r="E10" s="185">
        <v>52</v>
      </c>
      <c r="G10" s="267">
        <v>18</v>
      </c>
      <c r="H10" s="268">
        <f t="shared" si="1"/>
        <v>117</v>
      </c>
      <c r="I10" s="265"/>
    </row>
    <row r="11" spans="2:9" ht="15.75">
      <c r="B11" s="266">
        <v>5</v>
      </c>
      <c r="C11" s="192" t="s">
        <v>142</v>
      </c>
      <c r="D11" s="293">
        <f t="shared" si="0"/>
        <v>6.5</v>
      </c>
      <c r="E11" s="185">
        <v>52</v>
      </c>
      <c r="G11" s="267">
        <v>569</v>
      </c>
      <c r="H11" s="268">
        <f t="shared" si="1"/>
        <v>3698.5</v>
      </c>
      <c r="I11" s="265"/>
    </row>
    <row r="12" spans="2:9" ht="15.75">
      <c r="B12" s="266">
        <v>6</v>
      </c>
      <c r="C12" s="192" t="s">
        <v>129</v>
      </c>
      <c r="D12" s="293">
        <f t="shared" si="0"/>
        <v>3.25</v>
      </c>
      <c r="E12" s="185">
        <v>26</v>
      </c>
      <c r="G12" s="267">
        <v>5244</v>
      </c>
      <c r="H12" s="268">
        <f t="shared" si="1"/>
        <v>17043</v>
      </c>
      <c r="I12" s="265"/>
    </row>
    <row r="13" spans="2:9" ht="15.75">
      <c r="B13" s="266">
        <v>7</v>
      </c>
      <c r="C13" s="192" t="s">
        <v>196</v>
      </c>
      <c r="D13" s="293">
        <f t="shared" si="0"/>
        <v>6.5</v>
      </c>
      <c r="E13" s="185">
        <v>52</v>
      </c>
      <c r="G13" s="267">
        <v>3</v>
      </c>
      <c r="H13" s="268">
        <f t="shared" si="1"/>
        <v>19.5</v>
      </c>
      <c r="I13" s="265"/>
    </row>
    <row r="14" spans="2:9" ht="15.75">
      <c r="B14" s="266">
        <v>8</v>
      </c>
      <c r="C14" s="192" t="s">
        <v>130</v>
      </c>
      <c r="D14" s="293">
        <f t="shared" si="0"/>
        <v>4.875</v>
      </c>
      <c r="E14" s="185">
        <v>39</v>
      </c>
      <c r="G14" s="267">
        <v>79</v>
      </c>
      <c r="H14" s="268">
        <f t="shared" si="1"/>
        <v>385.125</v>
      </c>
      <c r="I14" s="265"/>
    </row>
    <row r="15" spans="2:9" ht="15.75">
      <c r="B15" s="266">
        <v>9</v>
      </c>
      <c r="C15" s="192" t="s">
        <v>135</v>
      </c>
      <c r="D15" s="293">
        <f t="shared" si="0"/>
        <v>6.5</v>
      </c>
      <c r="E15" s="185">
        <v>52</v>
      </c>
      <c r="G15" s="267">
        <v>534</v>
      </c>
      <c r="H15" s="268">
        <f t="shared" si="1"/>
        <v>3471</v>
      </c>
      <c r="I15" s="265"/>
    </row>
    <row r="16" spans="2:9" ht="15.75">
      <c r="B16" s="266">
        <v>10</v>
      </c>
      <c r="C16" s="192" t="s">
        <v>179</v>
      </c>
      <c r="D16" s="293">
        <f t="shared" si="0"/>
        <v>4.875</v>
      </c>
      <c r="E16" s="185">
        <v>39</v>
      </c>
      <c r="G16" s="267">
        <v>296</v>
      </c>
      <c r="H16" s="268">
        <f t="shared" si="1"/>
        <v>1443</v>
      </c>
      <c r="I16" s="265"/>
    </row>
    <row r="17" spans="2:9" ht="15.75">
      <c r="B17" s="266">
        <v>11</v>
      </c>
      <c r="C17" s="192" t="s">
        <v>183</v>
      </c>
      <c r="D17" s="293">
        <f t="shared" si="0"/>
        <v>5.6875</v>
      </c>
      <c r="E17" s="185">
        <v>45.5</v>
      </c>
      <c r="G17" s="267">
        <v>479</v>
      </c>
      <c r="H17" s="268">
        <f t="shared" si="1"/>
        <v>2724.3125</v>
      </c>
      <c r="I17" s="265"/>
    </row>
    <row r="18" spans="2:9" ht="15.75">
      <c r="B18" s="266">
        <v>12</v>
      </c>
      <c r="C18" s="192" t="s">
        <v>201</v>
      </c>
      <c r="D18" s="293">
        <f t="shared" si="0"/>
        <v>6.5</v>
      </c>
      <c r="E18" s="185">
        <v>52</v>
      </c>
      <c r="G18" s="267">
        <v>14</v>
      </c>
      <c r="H18" s="268">
        <f t="shared" si="1"/>
        <v>91</v>
      </c>
      <c r="I18" s="265"/>
    </row>
    <row r="19" spans="2:9" ht="15.75">
      <c r="B19" s="266">
        <v>13</v>
      </c>
      <c r="C19" s="192" t="s">
        <v>133</v>
      </c>
      <c r="D19" s="293">
        <f t="shared" si="0"/>
        <v>4.875</v>
      </c>
      <c r="E19" s="185">
        <v>39</v>
      </c>
      <c r="G19" s="267">
        <v>39</v>
      </c>
      <c r="H19" s="268">
        <f t="shared" si="1"/>
        <v>190.125</v>
      </c>
      <c r="I19" s="265"/>
    </row>
    <row r="20" spans="2:9" ht="15.75">
      <c r="B20" s="266">
        <v>14</v>
      </c>
      <c r="C20" s="192" t="s">
        <v>164</v>
      </c>
      <c r="D20" s="293">
        <f t="shared" si="0"/>
        <v>6.5</v>
      </c>
      <c r="E20" s="185">
        <v>52</v>
      </c>
      <c r="G20" s="267">
        <v>25</v>
      </c>
      <c r="H20" s="268">
        <f t="shared" si="1"/>
        <v>162.5</v>
      </c>
      <c r="I20" s="265"/>
    </row>
    <row r="21" spans="2:9" ht="15.75">
      <c r="B21" s="266">
        <v>15</v>
      </c>
      <c r="C21" s="192" t="s">
        <v>185</v>
      </c>
      <c r="D21" s="293">
        <f t="shared" si="0"/>
        <v>8.125</v>
      </c>
      <c r="E21" s="185">
        <v>65</v>
      </c>
      <c r="G21" s="269">
        <v>119</v>
      </c>
      <c r="H21" s="268">
        <f>(G21*E21)/8</f>
        <v>966.875</v>
      </c>
      <c r="I21" s="265"/>
    </row>
    <row r="22" spans="2:9" ht="16.5" thickBot="1">
      <c r="B22" s="270">
        <v>16</v>
      </c>
      <c r="C22" s="271" t="s">
        <v>230</v>
      </c>
      <c r="D22" s="294">
        <f t="shared" si="0"/>
        <v>6.5</v>
      </c>
      <c r="E22" s="253">
        <v>52</v>
      </c>
      <c r="G22" s="272">
        <v>38</v>
      </c>
      <c r="H22" s="273">
        <f>(G22*E22)/8</f>
        <v>247</v>
      </c>
      <c r="I22" s="265"/>
    </row>
    <row r="23" ht="13.5" thickTop="1"/>
    <row r="24" spans="1:7" ht="13.5" thickBot="1">
      <c r="A24" s="316" t="s">
        <v>245</v>
      </c>
      <c r="B24" s="316"/>
      <c r="C24" s="316"/>
      <c r="D24" s="316"/>
      <c r="E24" s="316"/>
      <c r="F24" s="255"/>
      <c r="G24" s="255"/>
    </row>
    <row r="25" spans="1:8" s="256" customFormat="1" ht="30" thickBot="1" thickTop="1">
      <c r="A25" s="318" t="s">
        <v>247</v>
      </c>
      <c r="B25" s="319"/>
      <c r="C25" s="258" t="s">
        <v>252</v>
      </c>
      <c r="D25" s="258" t="s">
        <v>253</v>
      </c>
      <c r="E25" s="295" t="s">
        <v>7</v>
      </c>
      <c r="F25" s="304"/>
      <c r="G25" s="299" t="s">
        <v>254</v>
      </c>
      <c r="H25" s="260" t="s">
        <v>124</v>
      </c>
    </row>
    <row r="26" spans="1:8" ht="16.5" thickTop="1">
      <c r="A26" s="274" t="s">
        <v>257</v>
      </c>
      <c r="B26" s="275">
        <v>1</v>
      </c>
      <c r="C26" s="276" t="s">
        <v>175</v>
      </c>
      <c r="D26" s="276" t="s">
        <v>258</v>
      </c>
      <c r="E26" s="296">
        <v>95.62206350000001</v>
      </c>
      <c r="F26" s="305"/>
      <c r="G26" s="300">
        <v>28.952</v>
      </c>
      <c r="H26" s="264">
        <f aca="true" t="shared" si="2" ref="H26:H57">G26*E26</f>
        <v>2768.4499824520003</v>
      </c>
    </row>
    <row r="27" spans="1:8" ht="15.75">
      <c r="A27" s="261" t="s">
        <v>257</v>
      </c>
      <c r="B27" s="277">
        <v>2</v>
      </c>
      <c r="C27" s="227" t="s">
        <v>233</v>
      </c>
      <c r="D27" s="262" t="s">
        <v>176</v>
      </c>
      <c r="E27" s="297">
        <v>2.43401375</v>
      </c>
      <c r="F27" s="305"/>
      <c r="G27" s="301">
        <v>360</v>
      </c>
      <c r="H27" s="268">
        <f t="shared" si="2"/>
        <v>876.24495</v>
      </c>
    </row>
    <row r="28" spans="1:8" ht="15.75">
      <c r="A28" s="261" t="s">
        <v>257</v>
      </c>
      <c r="B28" s="277">
        <v>3</v>
      </c>
      <c r="C28" s="192" t="s">
        <v>195</v>
      </c>
      <c r="D28" s="192" t="s">
        <v>258</v>
      </c>
      <c r="E28" s="297">
        <v>52.9814</v>
      </c>
      <c r="F28" s="305"/>
      <c r="G28" s="301">
        <v>11.286000000000001</v>
      </c>
      <c r="H28" s="268">
        <f t="shared" si="2"/>
        <v>597.9480804000001</v>
      </c>
    </row>
    <row r="29" spans="1:8" ht="15.75">
      <c r="A29" s="261" t="s">
        <v>257</v>
      </c>
      <c r="B29" s="277">
        <v>4</v>
      </c>
      <c r="C29" s="192" t="s">
        <v>186</v>
      </c>
      <c r="D29" s="192" t="s">
        <v>47</v>
      </c>
      <c r="E29" s="297">
        <v>50.080275</v>
      </c>
      <c r="F29" s="305"/>
      <c r="G29" s="301">
        <v>2.6999999999999997</v>
      </c>
      <c r="H29" s="268">
        <f t="shared" si="2"/>
        <v>135.21674249999998</v>
      </c>
    </row>
    <row r="30" spans="1:8" ht="15.75">
      <c r="A30" s="261" t="s">
        <v>257</v>
      </c>
      <c r="B30" s="277">
        <v>5</v>
      </c>
      <c r="C30" s="192" t="s">
        <v>169</v>
      </c>
      <c r="D30" s="192" t="s">
        <v>259</v>
      </c>
      <c r="E30" s="297">
        <v>59.451100000000004</v>
      </c>
      <c r="F30" s="305"/>
      <c r="G30" s="301">
        <v>1.1126</v>
      </c>
      <c r="H30" s="268">
        <f t="shared" si="2"/>
        <v>66.14529386000001</v>
      </c>
    </row>
    <row r="31" spans="1:8" ht="15.75">
      <c r="A31" s="261" t="s">
        <v>257</v>
      </c>
      <c r="B31" s="277">
        <v>6</v>
      </c>
      <c r="C31" s="192" t="s">
        <v>261</v>
      </c>
      <c r="D31" s="192" t="s">
        <v>262</v>
      </c>
      <c r="E31" s="297">
        <v>12.080275</v>
      </c>
      <c r="F31" s="305"/>
      <c r="G31" s="301">
        <v>15.261644</v>
      </c>
      <c r="H31" s="268">
        <f t="shared" si="2"/>
        <v>184.3648564721</v>
      </c>
    </row>
    <row r="32" spans="1:8" ht="15.75">
      <c r="A32" s="261" t="s">
        <v>257</v>
      </c>
      <c r="B32" s="277">
        <v>7</v>
      </c>
      <c r="C32" s="192" t="s">
        <v>221</v>
      </c>
      <c r="D32" s="192" t="s">
        <v>263</v>
      </c>
      <c r="E32" s="297">
        <v>66.97</v>
      </c>
      <c r="F32" s="305"/>
      <c r="G32" s="301">
        <v>4</v>
      </c>
      <c r="H32" s="268">
        <f t="shared" si="2"/>
        <v>267.88</v>
      </c>
    </row>
    <row r="33" spans="1:8" ht="15.75">
      <c r="A33" s="261" t="s">
        <v>257</v>
      </c>
      <c r="B33" s="277">
        <v>8</v>
      </c>
      <c r="C33" s="192" t="s">
        <v>173</v>
      </c>
      <c r="D33" s="192" t="s">
        <v>176</v>
      </c>
      <c r="E33" s="297">
        <v>4.12844</v>
      </c>
      <c r="F33" s="305"/>
      <c r="G33" s="301">
        <v>581.8320000000001</v>
      </c>
      <c r="H33" s="268">
        <f t="shared" si="2"/>
        <v>2402.058502080001</v>
      </c>
    </row>
    <row r="34" spans="1:8" ht="15.75">
      <c r="A34" s="261" t="s">
        <v>257</v>
      </c>
      <c r="B34" s="277">
        <v>9</v>
      </c>
      <c r="C34" s="192" t="s">
        <v>136</v>
      </c>
      <c r="D34" s="192" t="s">
        <v>264</v>
      </c>
      <c r="E34" s="297">
        <v>174.77097826086958</v>
      </c>
      <c r="F34" s="305"/>
      <c r="G34" s="301">
        <v>290.26217999999994</v>
      </c>
      <c r="H34" s="268">
        <f t="shared" si="2"/>
        <v>50729.40515073261</v>
      </c>
    </row>
    <row r="35" spans="1:8" ht="15.75">
      <c r="A35" s="261" t="s">
        <v>257</v>
      </c>
      <c r="B35" s="277">
        <v>10</v>
      </c>
      <c r="C35" s="192" t="s">
        <v>191</v>
      </c>
      <c r="D35" s="192" t="s">
        <v>243</v>
      </c>
      <c r="E35" s="297">
        <v>85.561925</v>
      </c>
      <c r="F35" s="305"/>
      <c r="G35" s="301">
        <v>63.495000000000005</v>
      </c>
      <c r="H35" s="268">
        <f t="shared" si="2"/>
        <v>5432.754427875</v>
      </c>
    </row>
    <row r="36" spans="1:8" ht="15.75">
      <c r="A36" s="261" t="s">
        <v>257</v>
      </c>
      <c r="B36" s="277">
        <v>11</v>
      </c>
      <c r="C36" s="192" t="s">
        <v>172</v>
      </c>
      <c r="D36" s="192" t="s">
        <v>243</v>
      </c>
      <c r="E36" s="297">
        <v>26.8506875</v>
      </c>
      <c r="F36" s="305"/>
      <c r="G36" s="301">
        <v>148.83</v>
      </c>
      <c r="H36" s="268">
        <f t="shared" si="2"/>
        <v>3996.1878206250003</v>
      </c>
    </row>
    <row r="37" spans="1:8" ht="15.75">
      <c r="A37" s="261" t="s">
        <v>257</v>
      </c>
      <c r="B37" s="277">
        <v>12</v>
      </c>
      <c r="C37" s="192" t="s">
        <v>226</v>
      </c>
      <c r="D37" s="192" t="s">
        <v>262</v>
      </c>
      <c r="E37" s="297">
        <v>30.080275</v>
      </c>
      <c r="F37" s="305"/>
      <c r="G37" s="301">
        <v>2.142</v>
      </c>
      <c r="H37" s="268">
        <f t="shared" si="2"/>
        <v>64.43194905</v>
      </c>
    </row>
    <row r="38" spans="1:8" ht="15.75">
      <c r="A38" s="261" t="s">
        <v>257</v>
      </c>
      <c r="B38" s="277">
        <v>13</v>
      </c>
      <c r="C38" s="192" t="s">
        <v>174</v>
      </c>
      <c r="D38" s="192" t="s">
        <v>176</v>
      </c>
      <c r="E38" s="297">
        <v>3</v>
      </c>
      <c r="F38" s="305"/>
      <c r="G38" s="301">
        <v>646.48</v>
      </c>
      <c r="H38" s="268">
        <f t="shared" si="2"/>
        <v>1939.44</v>
      </c>
    </row>
    <row r="39" spans="1:8" ht="15.75">
      <c r="A39" s="261" t="s">
        <v>257</v>
      </c>
      <c r="B39" s="277">
        <v>14</v>
      </c>
      <c r="C39" s="227" t="s">
        <v>231</v>
      </c>
      <c r="D39" s="192" t="s">
        <v>263</v>
      </c>
      <c r="E39" s="297">
        <v>5.64</v>
      </c>
      <c r="F39" s="305"/>
      <c r="G39" s="301">
        <v>33</v>
      </c>
      <c r="H39" s="268">
        <f t="shared" si="2"/>
        <v>186.11999999999998</v>
      </c>
    </row>
    <row r="40" spans="1:8" ht="15.75">
      <c r="A40" s="261" t="s">
        <v>257</v>
      </c>
      <c r="B40" s="277">
        <v>15</v>
      </c>
      <c r="C40" s="227" t="s">
        <v>236</v>
      </c>
      <c r="D40" s="192" t="s">
        <v>263</v>
      </c>
      <c r="E40" s="297">
        <v>0.55</v>
      </c>
      <c r="F40" s="305"/>
      <c r="G40" s="301">
        <v>270</v>
      </c>
      <c r="H40" s="268">
        <f t="shared" si="2"/>
        <v>148.5</v>
      </c>
    </row>
    <row r="41" spans="1:8" ht="15.75">
      <c r="A41" s="261" t="s">
        <v>257</v>
      </c>
      <c r="B41" s="277">
        <v>16</v>
      </c>
      <c r="C41" s="192" t="s">
        <v>211</v>
      </c>
      <c r="D41" s="192" t="s">
        <v>263</v>
      </c>
      <c r="E41" s="297">
        <v>70</v>
      </c>
      <c r="F41" s="305"/>
      <c r="G41" s="301">
        <v>2</v>
      </c>
      <c r="H41" s="268">
        <f t="shared" si="2"/>
        <v>140</v>
      </c>
    </row>
    <row r="42" spans="1:8" ht="15.75">
      <c r="A42" s="261" t="s">
        <v>257</v>
      </c>
      <c r="B42" s="277">
        <v>17</v>
      </c>
      <c r="C42" s="192" t="s">
        <v>161</v>
      </c>
      <c r="D42" s="192" t="s">
        <v>262</v>
      </c>
      <c r="E42" s="297">
        <v>15.080275</v>
      </c>
      <c r="F42" s="305"/>
      <c r="G42" s="301">
        <v>40.1868</v>
      </c>
      <c r="H42" s="268">
        <f t="shared" si="2"/>
        <v>606.02799537</v>
      </c>
    </row>
    <row r="43" spans="1:8" ht="15.75">
      <c r="A43" s="261" t="s">
        <v>257</v>
      </c>
      <c r="B43" s="277">
        <v>18</v>
      </c>
      <c r="C43" s="227" t="s">
        <v>241</v>
      </c>
      <c r="D43" s="192" t="s">
        <v>263</v>
      </c>
      <c r="E43" s="297">
        <v>400</v>
      </c>
      <c r="F43" s="305"/>
      <c r="G43" s="301">
        <v>10</v>
      </c>
      <c r="H43" s="268">
        <f t="shared" si="2"/>
        <v>4000</v>
      </c>
    </row>
    <row r="44" spans="1:8" ht="15.75">
      <c r="A44" s="261" t="s">
        <v>257</v>
      </c>
      <c r="B44" s="277">
        <v>19</v>
      </c>
      <c r="C44" s="192" t="s">
        <v>265</v>
      </c>
      <c r="D44" s="192" t="s">
        <v>262</v>
      </c>
      <c r="E44" s="297">
        <v>50.080275</v>
      </c>
      <c r="F44" s="305"/>
      <c r="G44" s="301">
        <v>0.43</v>
      </c>
      <c r="H44" s="268">
        <f t="shared" si="2"/>
        <v>21.53451825</v>
      </c>
    </row>
    <row r="45" spans="1:8" ht="15.75">
      <c r="A45" s="261" t="s">
        <v>257</v>
      </c>
      <c r="B45" s="277">
        <v>20</v>
      </c>
      <c r="C45" s="192" t="s">
        <v>166</v>
      </c>
      <c r="D45" s="192" t="s">
        <v>263</v>
      </c>
      <c r="E45" s="297">
        <v>0.1</v>
      </c>
      <c r="F45" s="305"/>
      <c r="G45" s="301">
        <v>291.59999999999997</v>
      </c>
      <c r="H45" s="268">
        <f t="shared" si="2"/>
        <v>29.159999999999997</v>
      </c>
    </row>
    <row r="46" spans="1:8" ht="15.75">
      <c r="A46" s="261" t="s">
        <v>257</v>
      </c>
      <c r="B46" s="277">
        <v>21</v>
      </c>
      <c r="C46" s="192" t="s">
        <v>168</v>
      </c>
      <c r="D46" s="192" t="s">
        <v>263</v>
      </c>
      <c r="E46" s="297">
        <v>1.5</v>
      </c>
      <c r="F46" s="305"/>
      <c r="G46" s="301">
        <v>146</v>
      </c>
      <c r="H46" s="268">
        <f t="shared" si="2"/>
        <v>219</v>
      </c>
    </row>
    <row r="47" spans="1:8" ht="15.75">
      <c r="A47" s="261" t="s">
        <v>257</v>
      </c>
      <c r="B47" s="277">
        <v>22</v>
      </c>
      <c r="C47" s="192" t="s">
        <v>203</v>
      </c>
      <c r="D47" s="192" t="s">
        <v>263</v>
      </c>
      <c r="E47" s="297">
        <v>15</v>
      </c>
      <c r="F47" s="305"/>
      <c r="G47" s="301">
        <v>12</v>
      </c>
      <c r="H47" s="268">
        <f t="shared" si="2"/>
        <v>180</v>
      </c>
    </row>
    <row r="48" spans="1:8" ht="15.75">
      <c r="A48" s="261" t="s">
        <v>257</v>
      </c>
      <c r="B48" s="277">
        <v>23</v>
      </c>
      <c r="C48" s="227" t="s">
        <v>240</v>
      </c>
      <c r="D48" s="192" t="s">
        <v>263</v>
      </c>
      <c r="E48" s="297">
        <v>450</v>
      </c>
      <c r="F48" s="305"/>
      <c r="G48" s="301">
        <v>5</v>
      </c>
      <c r="H48" s="268">
        <f t="shared" si="2"/>
        <v>2250</v>
      </c>
    </row>
    <row r="49" spans="1:8" ht="15.75">
      <c r="A49" s="261" t="s">
        <v>257</v>
      </c>
      <c r="B49" s="277">
        <v>24</v>
      </c>
      <c r="C49" s="192" t="s">
        <v>178</v>
      </c>
      <c r="D49" s="192" t="s">
        <v>243</v>
      </c>
      <c r="E49" s="297">
        <v>812.971</v>
      </c>
      <c r="F49" s="305"/>
      <c r="G49" s="301">
        <v>0</v>
      </c>
      <c r="H49" s="268">
        <f t="shared" si="2"/>
        <v>0</v>
      </c>
    </row>
    <row r="50" spans="1:8" ht="15.75">
      <c r="A50" s="261" t="s">
        <v>257</v>
      </c>
      <c r="B50" s="277">
        <v>25</v>
      </c>
      <c r="C50" s="192" t="s">
        <v>160</v>
      </c>
      <c r="D50" s="192" t="s">
        <v>263</v>
      </c>
      <c r="E50" s="297">
        <v>85.401375</v>
      </c>
      <c r="F50" s="305"/>
      <c r="G50" s="301">
        <v>154.0494</v>
      </c>
      <c r="H50" s="268">
        <f t="shared" si="2"/>
        <v>13156.030577925</v>
      </c>
    </row>
    <row r="51" spans="1:8" ht="15.75">
      <c r="A51" s="261" t="s">
        <v>257</v>
      </c>
      <c r="B51" s="277">
        <v>26</v>
      </c>
      <c r="C51" s="192" t="s">
        <v>163</v>
      </c>
      <c r="D51" s="192" t="s">
        <v>243</v>
      </c>
      <c r="E51" s="297">
        <v>30.2006875</v>
      </c>
      <c r="F51" s="305"/>
      <c r="G51" s="301">
        <v>77.06666666666666</v>
      </c>
      <c r="H51" s="268">
        <f t="shared" si="2"/>
        <v>2327.4663166666664</v>
      </c>
    </row>
    <row r="52" spans="1:8" ht="15.75">
      <c r="A52" s="261" t="s">
        <v>257</v>
      </c>
      <c r="B52" s="277">
        <v>27</v>
      </c>
      <c r="C52" s="192" t="s">
        <v>215</v>
      </c>
      <c r="D52" s="192" t="s">
        <v>263</v>
      </c>
      <c r="E52" s="297">
        <v>120.988</v>
      </c>
      <c r="F52" s="305"/>
      <c r="G52" s="301">
        <v>2</v>
      </c>
      <c r="H52" s="268">
        <f t="shared" si="2"/>
        <v>241.976</v>
      </c>
    </row>
    <row r="53" spans="1:8" ht="15.75">
      <c r="A53" s="261" t="s">
        <v>257</v>
      </c>
      <c r="B53" s="277">
        <v>28</v>
      </c>
      <c r="C53" s="192" t="s">
        <v>200</v>
      </c>
      <c r="D53" s="192" t="s">
        <v>262</v>
      </c>
      <c r="E53" s="297">
        <v>6.080275</v>
      </c>
      <c r="F53" s="305"/>
      <c r="G53" s="301">
        <v>6.507</v>
      </c>
      <c r="H53" s="268">
        <f t="shared" si="2"/>
        <v>39.564349425</v>
      </c>
    </row>
    <row r="54" spans="1:8" ht="15.75">
      <c r="A54" s="261" t="s">
        <v>257</v>
      </c>
      <c r="B54" s="277">
        <v>29</v>
      </c>
      <c r="C54" s="192" t="s">
        <v>218</v>
      </c>
      <c r="D54" s="192" t="s">
        <v>263</v>
      </c>
      <c r="E54" s="297">
        <v>2</v>
      </c>
      <c r="F54" s="305"/>
      <c r="G54" s="301">
        <v>34</v>
      </c>
      <c r="H54" s="268">
        <f t="shared" si="2"/>
        <v>68</v>
      </c>
    </row>
    <row r="55" spans="1:8" ht="15.75">
      <c r="A55" s="261" t="s">
        <v>257</v>
      </c>
      <c r="B55" s="277">
        <v>30</v>
      </c>
      <c r="C55" s="192" t="s">
        <v>217</v>
      </c>
      <c r="D55" s="192" t="s">
        <v>263</v>
      </c>
      <c r="E55" s="297">
        <v>70.39</v>
      </c>
      <c r="F55" s="305"/>
      <c r="G55" s="301">
        <v>2</v>
      </c>
      <c r="H55" s="268">
        <f t="shared" si="2"/>
        <v>140.78</v>
      </c>
    </row>
    <row r="56" spans="1:8" ht="15.75">
      <c r="A56" s="261" t="s">
        <v>257</v>
      </c>
      <c r="B56" s="277">
        <v>31</v>
      </c>
      <c r="C56" s="192" t="s">
        <v>219</v>
      </c>
      <c r="D56" s="192" t="s">
        <v>263</v>
      </c>
      <c r="E56" s="297">
        <v>2</v>
      </c>
      <c r="F56" s="305"/>
      <c r="G56" s="301">
        <v>9</v>
      </c>
      <c r="H56" s="268">
        <f t="shared" si="2"/>
        <v>18</v>
      </c>
    </row>
    <row r="57" spans="1:8" ht="15.75">
      <c r="A57" s="261" t="s">
        <v>257</v>
      </c>
      <c r="B57" s="277">
        <v>32</v>
      </c>
      <c r="C57" s="192" t="s">
        <v>222</v>
      </c>
      <c r="D57" s="192" t="s">
        <v>263</v>
      </c>
      <c r="E57" s="297">
        <v>3</v>
      </c>
      <c r="F57" s="305"/>
      <c r="G57" s="301">
        <v>4</v>
      </c>
      <c r="H57" s="268">
        <f t="shared" si="2"/>
        <v>12</v>
      </c>
    </row>
    <row r="58" spans="1:8" ht="15.75">
      <c r="A58" s="261" t="s">
        <v>257</v>
      </c>
      <c r="B58" s="277">
        <v>33</v>
      </c>
      <c r="C58" s="192" t="s">
        <v>204</v>
      </c>
      <c r="D58" s="192" t="s">
        <v>263</v>
      </c>
      <c r="E58" s="297">
        <v>30</v>
      </c>
      <c r="F58" s="305"/>
      <c r="G58" s="301">
        <v>4</v>
      </c>
      <c r="H58" s="268">
        <f aca="true" t="shared" si="3" ref="H58:H89">G58*E58</f>
        <v>120</v>
      </c>
    </row>
    <row r="59" spans="1:8" ht="15.75">
      <c r="A59" s="261" t="s">
        <v>257</v>
      </c>
      <c r="B59" s="277">
        <v>34</v>
      </c>
      <c r="C59" s="227" t="s">
        <v>235</v>
      </c>
      <c r="D59" s="192" t="s">
        <v>263</v>
      </c>
      <c r="E59" s="297">
        <v>0.85</v>
      </c>
      <c r="F59" s="305"/>
      <c r="G59" s="301">
        <v>105</v>
      </c>
      <c r="H59" s="268">
        <f t="shared" si="3"/>
        <v>89.25</v>
      </c>
    </row>
    <row r="60" spans="1:8" ht="15.75">
      <c r="A60" s="261" t="s">
        <v>257</v>
      </c>
      <c r="B60" s="277">
        <v>35</v>
      </c>
      <c r="C60" s="192" t="s">
        <v>213</v>
      </c>
      <c r="D60" s="192" t="s">
        <v>263</v>
      </c>
      <c r="E60" s="297">
        <v>1301.976</v>
      </c>
      <c r="F60" s="305"/>
      <c r="G60" s="301">
        <v>2</v>
      </c>
      <c r="H60" s="268">
        <f t="shared" si="3"/>
        <v>2603.952</v>
      </c>
    </row>
    <row r="61" spans="1:8" ht="15.75">
      <c r="A61" s="261" t="s">
        <v>257</v>
      </c>
      <c r="B61" s="277">
        <v>36</v>
      </c>
      <c r="C61" s="192" t="s">
        <v>181</v>
      </c>
      <c r="D61" s="192" t="s">
        <v>243</v>
      </c>
      <c r="E61" s="297">
        <v>383.705</v>
      </c>
      <c r="F61" s="305"/>
      <c r="G61" s="301">
        <v>10.920000000000002</v>
      </c>
      <c r="H61" s="268">
        <f t="shared" si="3"/>
        <v>4190.0586</v>
      </c>
    </row>
    <row r="62" spans="1:8" ht="15.75">
      <c r="A62" s="261" t="s">
        <v>257</v>
      </c>
      <c r="B62" s="277">
        <v>37</v>
      </c>
      <c r="C62" s="192" t="s">
        <v>182</v>
      </c>
      <c r="D62" s="192" t="s">
        <v>243</v>
      </c>
      <c r="E62" s="297">
        <v>353.705</v>
      </c>
      <c r="F62" s="305"/>
      <c r="G62" s="301">
        <v>3.54</v>
      </c>
      <c r="H62" s="268">
        <f t="shared" si="3"/>
        <v>1252.1157</v>
      </c>
    </row>
    <row r="63" spans="1:8" ht="15.75">
      <c r="A63" s="261" t="s">
        <v>257</v>
      </c>
      <c r="B63" s="277">
        <v>38</v>
      </c>
      <c r="C63" s="192" t="s">
        <v>146</v>
      </c>
      <c r="D63" s="192" t="s">
        <v>262</v>
      </c>
      <c r="E63" s="297">
        <v>12.080275</v>
      </c>
      <c r="F63" s="305"/>
      <c r="G63" s="301">
        <v>101.98715000000001</v>
      </c>
      <c r="H63" s="268">
        <f t="shared" si="3"/>
        <v>1232.03281846625</v>
      </c>
    </row>
    <row r="64" spans="1:8" ht="15.75">
      <c r="A64" s="261" t="s">
        <v>257</v>
      </c>
      <c r="B64" s="277">
        <v>39</v>
      </c>
      <c r="C64" s="192" t="s">
        <v>141</v>
      </c>
      <c r="D64" s="192" t="s">
        <v>266</v>
      </c>
      <c r="E64" s="297">
        <v>0.1</v>
      </c>
      <c r="F64" s="305"/>
      <c r="G64" s="301">
        <v>977.92</v>
      </c>
      <c r="H64" s="268">
        <f t="shared" si="3"/>
        <v>97.792</v>
      </c>
    </row>
    <row r="65" spans="1:8" ht="15.75">
      <c r="A65" s="261" t="s">
        <v>257</v>
      </c>
      <c r="B65" s="277">
        <v>40</v>
      </c>
      <c r="C65" s="192" t="s">
        <v>198</v>
      </c>
      <c r="D65" s="192" t="s">
        <v>267</v>
      </c>
      <c r="E65" s="297">
        <v>51.5511</v>
      </c>
      <c r="F65" s="305"/>
      <c r="G65" s="301">
        <v>45.54900000000001</v>
      </c>
      <c r="H65" s="268">
        <f t="shared" si="3"/>
        <v>2348.1010539000004</v>
      </c>
    </row>
    <row r="66" spans="1:8" ht="15.75">
      <c r="A66" s="261" t="s">
        <v>257</v>
      </c>
      <c r="B66" s="277">
        <v>41</v>
      </c>
      <c r="C66" s="192" t="s">
        <v>162</v>
      </c>
      <c r="D66" s="192" t="s">
        <v>263</v>
      </c>
      <c r="E66" s="297">
        <v>0.05</v>
      </c>
      <c r="F66" s="305"/>
      <c r="G66" s="301">
        <v>2902.38</v>
      </c>
      <c r="H66" s="268">
        <f t="shared" si="3"/>
        <v>145.119</v>
      </c>
    </row>
    <row r="67" spans="1:8" ht="15.75">
      <c r="A67" s="261" t="s">
        <v>257</v>
      </c>
      <c r="B67" s="277">
        <v>42</v>
      </c>
      <c r="C67" s="192" t="s">
        <v>197</v>
      </c>
      <c r="D67" s="192" t="s">
        <v>262</v>
      </c>
      <c r="E67" s="297">
        <v>5.300275</v>
      </c>
      <c r="F67" s="305"/>
      <c r="G67" s="301">
        <v>4.104</v>
      </c>
      <c r="H67" s="268">
        <f t="shared" si="3"/>
        <v>21.752328600000002</v>
      </c>
    </row>
    <row r="68" spans="1:8" ht="15.75">
      <c r="A68" s="261" t="s">
        <v>257</v>
      </c>
      <c r="B68" s="277">
        <v>43</v>
      </c>
      <c r="C68" s="227" t="s">
        <v>232</v>
      </c>
      <c r="D68" s="192" t="s">
        <v>263</v>
      </c>
      <c r="E68" s="297">
        <v>3</v>
      </c>
      <c r="F68" s="305"/>
      <c r="G68" s="301">
        <v>270</v>
      </c>
      <c r="H68" s="268">
        <f t="shared" si="3"/>
        <v>810</v>
      </c>
    </row>
    <row r="69" spans="1:8" ht="15.75">
      <c r="A69" s="261" t="s">
        <v>257</v>
      </c>
      <c r="B69" s="277">
        <v>44</v>
      </c>
      <c r="C69" s="192" t="s">
        <v>224</v>
      </c>
      <c r="D69" s="192" t="s">
        <v>263</v>
      </c>
      <c r="E69" s="297">
        <v>7</v>
      </c>
      <c r="F69" s="305"/>
      <c r="G69" s="301">
        <v>8</v>
      </c>
      <c r="H69" s="268">
        <f t="shared" si="3"/>
        <v>56</v>
      </c>
    </row>
    <row r="70" spans="1:8" ht="15.75">
      <c r="A70" s="261" t="s">
        <v>257</v>
      </c>
      <c r="B70" s="277">
        <v>45</v>
      </c>
      <c r="C70" s="169" t="s">
        <v>227</v>
      </c>
      <c r="D70" s="192" t="s">
        <v>176</v>
      </c>
      <c r="E70" s="297">
        <v>18.83</v>
      </c>
      <c r="F70" s="305"/>
      <c r="G70" s="301">
        <v>3.6750000000000003</v>
      </c>
      <c r="H70" s="268">
        <f t="shared" si="3"/>
        <v>69.20025</v>
      </c>
    </row>
    <row r="71" spans="1:8" ht="15.75">
      <c r="A71" s="261" t="s">
        <v>257</v>
      </c>
      <c r="B71" s="277">
        <v>46</v>
      </c>
      <c r="C71" s="192" t="s">
        <v>223</v>
      </c>
      <c r="D71" s="192" t="s">
        <v>176</v>
      </c>
      <c r="E71" s="297">
        <v>5.83</v>
      </c>
      <c r="F71" s="305"/>
      <c r="G71" s="301">
        <v>7.3500000000000005</v>
      </c>
      <c r="H71" s="268">
        <f t="shared" si="3"/>
        <v>42.850500000000004</v>
      </c>
    </row>
    <row r="72" spans="1:8" ht="15.75">
      <c r="A72" s="261" t="s">
        <v>257</v>
      </c>
      <c r="B72" s="277">
        <v>47</v>
      </c>
      <c r="C72" s="192" t="s">
        <v>225</v>
      </c>
      <c r="D72" s="192" t="s">
        <v>263</v>
      </c>
      <c r="E72" s="297">
        <v>20</v>
      </c>
      <c r="F72" s="305"/>
      <c r="G72" s="301">
        <v>2</v>
      </c>
      <c r="H72" s="268">
        <f t="shared" si="3"/>
        <v>40</v>
      </c>
    </row>
    <row r="73" spans="1:8" ht="15.75">
      <c r="A73" s="261" t="s">
        <v>257</v>
      </c>
      <c r="B73" s="277">
        <v>48</v>
      </c>
      <c r="C73" s="169" t="s">
        <v>187</v>
      </c>
      <c r="D73" s="192" t="s">
        <v>176</v>
      </c>
      <c r="E73" s="297">
        <v>10</v>
      </c>
      <c r="F73" s="305"/>
      <c r="G73" s="301">
        <v>55.692</v>
      </c>
      <c r="H73" s="268">
        <f t="shared" si="3"/>
        <v>556.92</v>
      </c>
    </row>
    <row r="74" spans="1:8" ht="15.75">
      <c r="A74" s="261" t="s">
        <v>257</v>
      </c>
      <c r="B74" s="277">
        <v>49</v>
      </c>
      <c r="C74" s="192" t="s">
        <v>228</v>
      </c>
      <c r="D74" s="192" t="s">
        <v>263</v>
      </c>
      <c r="E74" s="297">
        <v>40</v>
      </c>
      <c r="F74" s="305"/>
      <c r="G74" s="301">
        <v>4</v>
      </c>
      <c r="H74" s="268">
        <f t="shared" si="3"/>
        <v>160</v>
      </c>
    </row>
    <row r="75" spans="1:8" ht="15.75">
      <c r="A75" s="261" t="s">
        <v>257</v>
      </c>
      <c r="B75" s="277">
        <v>50</v>
      </c>
      <c r="C75" s="192" t="s">
        <v>184</v>
      </c>
      <c r="D75" s="192" t="s">
        <v>243</v>
      </c>
      <c r="E75" s="297">
        <v>48</v>
      </c>
      <c r="F75" s="305"/>
      <c r="G75" s="301">
        <v>18.36</v>
      </c>
      <c r="H75" s="268">
        <f t="shared" si="3"/>
        <v>881.28</v>
      </c>
    </row>
    <row r="76" spans="1:8" ht="15.75">
      <c r="A76" s="261" t="s">
        <v>257</v>
      </c>
      <c r="B76" s="277">
        <v>51</v>
      </c>
      <c r="C76" s="192" t="s">
        <v>157</v>
      </c>
      <c r="D76" s="192" t="s">
        <v>262</v>
      </c>
      <c r="E76" s="297">
        <v>10.425275000000001</v>
      </c>
      <c r="F76" s="305"/>
      <c r="G76" s="301">
        <v>0</v>
      </c>
      <c r="H76" s="268">
        <f t="shared" si="3"/>
        <v>0</v>
      </c>
    </row>
    <row r="77" spans="1:8" ht="15.75">
      <c r="A77" s="261" t="s">
        <v>257</v>
      </c>
      <c r="B77" s="277">
        <v>52</v>
      </c>
      <c r="C77" s="192" t="s">
        <v>154</v>
      </c>
      <c r="D77" s="192" t="s">
        <v>262</v>
      </c>
      <c r="E77" s="297">
        <v>10.425275000000001</v>
      </c>
      <c r="F77" s="305"/>
      <c r="G77" s="301">
        <v>379.87574400000005</v>
      </c>
      <c r="H77" s="268">
        <f t="shared" si="3"/>
        <v>3960.3090970296007</v>
      </c>
    </row>
    <row r="78" spans="1:8" ht="15.75">
      <c r="A78" s="261" t="s">
        <v>257</v>
      </c>
      <c r="B78" s="277">
        <v>53</v>
      </c>
      <c r="C78" s="192" t="s">
        <v>149</v>
      </c>
      <c r="D78" s="192" t="s">
        <v>262</v>
      </c>
      <c r="E78" s="297">
        <v>10.425275000000001</v>
      </c>
      <c r="F78" s="305"/>
      <c r="G78" s="301">
        <v>0</v>
      </c>
      <c r="H78" s="268">
        <f t="shared" si="3"/>
        <v>0</v>
      </c>
    </row>
    <row r="79" spans="1:8" ht="15.75">
      <c r="A79" s="261" t="s">
        <v>257</v>
      </c>
      <c r="B79" s="277">
        <v>54</v>
      </c>
      <c r="C79" s="192" t="s">
        <v>153</v>
      </c>
      <c r="D79" s="192" t="s">
        <v>262</v>
      </c>
      <c r="E79" s="297">
        <v>10.425275000000001</v>
      </c>
      <c r="F79" s="305"/>
      <c r="G79" s="301">
        <v>405.9681</v>
      </c>
      <c r="H79" s="268">
        <f t="shared" si="3"/>
        <v>4232.3290837275</v>
      </c>
    </row>
    <row r="80" spans="1:8" ht="15.75">
      <c r="A80" s="261" t="s">
        <v>257</v>
      </c>
      <c r="B80" s="277">
        <v>55</v>
      </c>
      <c r="C80" s="192" t="s">
        <v>205</v>
      </c>
      <c r="D80" s="192" t="s">
        <v>263</v>
      </c>
      <c r="E80" s="297">
        <v>0</v>
      </c>
      <c r="F80" s="305"/>
      <c r="G80" s="301">
        <v>4</v>
      </c>
      <c r="H80" s="268">
        <f t="shared" si="3"/>
        <v>0</v>
      </c>
    </row>
    <row r="81" spans="1:8" ht="15.75">
      <c r="A81" s="261" t="s">
        <v>257</v>
      </c>
      <c r="B81" s="277">
        <v>56</v>
      </c>
      <c r="C81" s="192" t="s">
        <v>171</v>
      </c>
      <c r="D81" s="192" t="s">
        <v>176</v>
      </c>
      <c r="E81" s="297">
        <v>7</v>
      </c>
      <c r="F81" s="305"/>
      <c r="G81" s="301">
        <v>358.68000000000006</v>
      </c>
      <c r="H81" s="268">
        <f t="shared" si="3"/>
        <v>2510.76</v>
      </c>
    </row>
    <row r="82" spans="1:8" ht="15.75">
      <c r="A82" s="261" t="s">
        <v>257</v>
      </c>
      <c r="B82" s="277">
        <v>57</v>
      </c>
      <c r="C82" s="192" t="s">
        <v>165</v>
      </c>
      <c r="D82" s="192" t="s">
        <v>263</v>
      </c>
      <c r="E82" s="297">
        <v>0.1</v>
      </c>
      <c r="F82" s="305"/>
      <c r="G82" s="301">
        <v>291.59999999999997</v>
      </c>
      <c r="H82" s="268">
        <f t="shared" si="3"/>
        <v>29.159999999999997</v>
      </c>
    </row>
    <row r="83" spans="1:8" ht="15.75">
      <c r="A83" s="261" t="s">
        <v>257</v>
      </c>
      <c r="B83" s="277">
        <v>58</v>
      </c>
      <c r="C83" s="192" t="s">
        <v>210</v>
      </c>
      <c r="D83" s="192" t="s">
        <v>263</v>
      </c>
      <c r="E83" s="297">
        <v>600</v>
      </c>
      <c r="F83" s="305"/>
      <c r="G83" s="301">
        <v>2</v>
      </c>
      <c r="H83" s="268">
        <f t="shared" si="3"/>
        <v>1200</v>
      </c>
    </row>
    <row r="84" spans="1:8" ht="15.75">
      <c r="A84" s="261" t="s">
        <v>257</v>
      </c>
      <c r="B84" s="277">
        <v>59</v>
      </c>
      <c r="C84" s="227" t="s">
        <v>237</v>
      </c>
      <c r="D84" s="192" t="s">
        <v>263</v>
      </c>
      <c r="E84" s="297">
        <v>35</v>
      </c>
      <c r="F84" s="305"/>
      <c r="G84" s="301">
        <v>10</v>
      </c>
      <c r="H84" s="268">
        <f t="shared" si="3"/>
        <v>350</v>
      </c>
    </row>
    <row r="85" spans="1:8" ht="15.75">
      <c r="A85" s="261" t="s">
        <v>257</v>
      </c>
      <c r="B85" s="277">
        <v>60</v>
      </c>
      <c r="C85" s="227" t="s">
        <v>239</v>
      </c>
      <c r="D85" s="192" t="s">
        <v>263</v>
      </c>
      <c r="E85" s="297">
        <v>35</v>
      </c>
      <c r="F85" s="305"/>
      <c r="G85" s="301">
        <v>10</v>
      </c>
      <c r="H85" s="268">
        <f t="shared" si="3"/>
        <v>350</v>
      </c>
    </row>
    <row r="86" spans="1:8" ht="15.75">
      <c r="A86" s="261" t="s">
        <v>257</v>
      </c>
      <c r="B86" s="277">
        <v>61</v>
      </c>
      <c r="C86" s="192" t="s">
        <v>167</v>
      </c>
      <c r="D86" s="192" t="s">
        <v>47</v>
      </c>
      <c r="E86" s="297">
        <v>80.080275</v>
      </c>
      <c r="F86" s="305"/>
      <c r="G86" s="301">
        <v>0.728</v>
      </c>
      <c r="H86" s="268">
        <f t="shared" si="3"/>
        <v>58.2984402</v>
      </c>
    </row>
    <row r="87" spans="1:8" ht="15.75">
      <c r="A87" s="261" t="s">
        <v>257</v>
      </c>
      <c r="B87" s="277">
        <v>62</v>
      </c>
      <c r="C87" s="192" t="s">
        <v>214</v>
      </c>
      <c r="D87" s="192" t="s">
        <v>263</v>
      </c>
      <c r="E87" s="297">
        <v>30</v>
      </c>
      <c r="F87" s="305"/>
      <c r="G87" s="301">
        <v>2</v>
      </c>
      <c r="H87" s="268">
        <f t="shared" si="3"/>
        <v>60</v>
      </c>
    </row>
    <row r="88" spans="1:8" ht="15.75">
      <c r="A88" s="261" t="s">
        <v>257</v>
      </c>
      <c r="B88" s="277">
        <v>63</v>
      </c>
      <c r="C88" s="192" t="s">
        <v>199</v>
      </c>
      <c r="D88" s="192" t="s">
        <v>262</v>
      </c>
      <c r="E88" s="297">
        <v>4.080275</v>
      </c>
      <c r="F88" s="305"/>
      <c r="G88" s="301">
        <v>260.28</v>
      </c>
      <c r="H88" s="268">
        <f t="shared" si="3"/>
        <v>1062.013977</v>
      </c>
    </row>
    <row r="89" spans="1:8" ht="15.75">
      <c r="A89" s="261" t="s">
        <v>257</v>
      </c>
      <c r="B89" s="277">
        <v>64</v>
      </c>
      <c r="C89" s="227" t="s">
        <v>376</v>
      </c>
      <c r="D89" s="192" t="s">
        <v>263</v>
      </c>
      <c r="E89" s="297">
        <v>502.47</v>
      </c>
      <c r="F89" s="305"/>
      <c r="G89" s="301">
        <v>1</v>
      </c>
      <c r="H89" s="268">
        <f t="shared" si="3"/>
        <v>502.47</v>
      </c>
    </row>
    <row r="90" spans="1:8" ht="15.75">
      <c r="A90" s="261" t="s">
        <v>257</v>
      </c>
      <c r="B90" s="277">
        <v>65</v>
      </c>
      <c r="C90" s="192" t="s">
        <v>170</v>
      </c>
      <c r="D90" s="192" t="s">
        <v>267</v>
      </c>
      <c r="E90" s="297">
        <v>82.0111</v>
      </c>
      <c r="F90" s="305"/>
      <c r="G90" s="301">
        <v>1.1126</v>
      </c>
      <c r="H90" s="268">
        <f aca="true" t="shared" si="4" ref="H90:H112">G90*E90</f>
        <v>91.24554986</v>
      </c>
    </row>
    <row r="91" spans="1:8" ht="15.75">
      <c r="A91" s="261" t="s">
        <v>257</v>
      </c>
      <c r="B91" s="277">
        <v>66</v>
      </c>
      <c r="C91" s="192" t="s">
        <v>202</v>
      </c>
      <c r="D91" s="192" t="s">
        <v>263</v>
      </c>
      <c r="E91" s="297">
        <v>603.705</v>
      </c>
      <c r="F91" s="305"/>
      <c r="G91" s="301">
        <v>2</v>
      </c>
      <c r="H91" s="268">
        <f t="shared" si="4"/>
        <v>1207.41</v>
      </c>
    </row>
    <row r="92" spans="1:8" ht="15.75">
      <c r="A92" s="261" t="s">
        <v>257</v>
      </c>
      <c r="B92" s="277">
        <v>67</v>
      </c>
      <c r="C92" s="192" t="s">
        <v>208</v>
      </c>
      <c r="D92" s="192" t="s">
        <v>263</v>
      </c>
      <c r="E92" s="297">
        <v>35</v>
      </c>
      <c r="F92" s="305"/>
      <c r="G92" s="301">
        <v>4</v>
      </c>
      <c r="H92" s="268">
        <f t="shared" si="4"/>
        <v>140</v>
      </c>
    </row>
    <row r="93" spans="1:8" ht="15.75">
      <c r="A93" s="261" t="s">
        <v>257</v>
      </c>
      <c r="B93" s="277">
        <v>68</v>
      </c>
      <c r="C93" s="192" t="s">
        <v>207</v>
      </c>
      <c r="D93" s="192" t="s">
        <v>263</v>
      </c>
      <c r="E93" s="297">
        <v>35</v>
      </c>
      <c r="F93" s="305"/>
      <c r="G93" s="301">
        <v>2</v>
      </c>
      <c r="H93" s="268">
        <f t="shared" si="4"/>
        <v>70</v>
      </c>
    </row>
    <row r="94" spans="1:8" ht="15.75">
      <c r="A94" s="261" t="s">
        <v>257</v>
      </c>
      <c r="B94" s="277">
        <v>69</v>
      </c>
      <c r="C94" s="192" t="s">
        <v>206</v>
      </c>
      <c r="D94" s="192" t="s">
        <v>263</v>
      </c>
      <c r="E94" s="297">
        <v>906.175</v>
      </c>
      <c r="F94" s="305"/>
      <c r="G94" s="301">
        <v>2</v>
      </c>
      <c r="H94" s="268">
        <f t="shared" si="4"/>
        <v>1812.35</v>
      </c>
    </row>
    <row r="95" spans="1:8" ht="15.75">
      <c r="A95" s="261" t="s">
        <v>257</v>
      </c>
      <c r="B95" s="277">
        <v>70</v>
      </c>
      <c r="C95" s="192" t="s">
        <v>190</v>
      </c>
      <c r="D95" s="192" t="s">
        <v>176</v>
      </c>
      <c r="E95" s="297">
        <v>20.936374999999998</v>
      </c>
      <c r="F95" s="305"/>
      <c r="G95" s="301">
        <v>87.516</v>
      </c>
      <c r="H95" s="268">
        <f t="shared" si="4"/>
        <v>1832.2677945</v>
      </c>
    </row>
    <row r="96" spans="1:8" ht="15.75">
      <c r="A96" s="261" t="s">
        <v>257</v>
      </c>
      <c r="B96" s="277">
        <v>71</v>
      </c>
      <c r="C96" s="192" t="s">
        <v>189</v>
      </c>
      <c r="D96" s="192" t="s">
        <v>243</v>
      </c>
      <c r="E96" s="297">
        <v>89.01375</v>
      </c>
      <c r="F96" s="305"/>
      <c r="G96" s="301">
        <v>55.08</v>
      </c>
      <c r="H96" s="268">
        <f t="shared" si="4"/>
        <v>4902.87735</v>
      </c>
    </row>
    <row r="97" spans="1:8" ht="15.75">
      <c r="A97" s="261" t="s">
        <v>257</v>
      </c>
      <c r="B97" s="277">
        <v>72</v>
      </c>
      <c r="C97" s="192" t="s">
        <v>148</v>
      </c>
      <c r="D97" s="192" t="s">
        <v>268</v>
      </c>
      <c r="E97" s="297">
        <v>4250</v>
      </c>
      <c r="F97" s="305"/>
      <c r="G97" s="301">
        <v>1.8012</v>
      </c>
      <c r="H97" s="268">
        <f t="shared" si="4"/>
        <v>7655.099999999999</v>
      </c>
    </row>
    <row r="98" spans="1:8" ht="15.75">
      <c r="A98" s="261" t="s">
        <v>257</v>
      </c>
      <c r="B98" s="277">
        <v>73</v>
      </c>
      <c r="C98" s="227" t="s">
        <v>238</v>
      </c>
      <c r="D98" s="192" t="s">
        <v>263</v>
      </c>
      <c r="E98" s="297">
        <v>50</v>
      </c>
      <c r="F98" s="305"/>
      <c r="G98" s="301">
        <v>10</v>
      </c>
      <c r="H98" s="268">
        <f t="shared" si="4"/>
        <v>500</v>
      </c>
    </row>
    <row r="99" spans="1:8" ht="15.75">
      <c r="A99" s="261" t="s">
        <v>257</v>
      </c>
      <c r="B99" s="277">
        <v>74</v>
      </c>
      <c r="C99" s="192" t="s">
        <v>269</v>
      </c>
      <c r="D99" s="192" t="s">
        <v>267</v>
      </c>
      <c r="E99" s="297">
        <v>82.0111</v>
      </c>
      <c r="F99" s="305"/>
      <c r="G99" s="301">
        <v>1.3639999999999999</v>
      </c>
      <c r="H99" s="268">
        <f t="shared" si="4"/>
        <v>111.86314039999999</v>
      </c>
    </row>
    <row r="100" spans="1:8" ht="15.75">
      <c r="A100" s="261" t="s">
        <v>257</v>
      </c>
      <c r="B100" s="277">
        <v>75</v>
      </c>
      <c r="C100" s="278" t="s">
        <v>192</v>
      </c>
      <c r="D100" s="278" t="s">
        <v>262</v>
      </c>
      <c r="E100" s="297">
        <v>6.080275</v>
      </c>
      <c r="F100" s="305"/>
      <c r="G100" s="302">
        <v>87.14999999999999</v>
      </c>
      <c r="H100" s="268">
        <f t="shared" si="4"/>
        <v>529.89596625</v>
      </c>
    </row>
    <row r="101" spans="1:8" ht="15.75">
      <c r="A101" s="266" t="s">
        <v>270</v>
      </c>
      <c r="B101" s="279">
        <v>1</v>
      </c>
      <c r="C101" s="192" t="s">
        <v>138</v>
      </c>
      <c r="D101" s="192" t="s">
        <v>268</v>
      </c>
      <c r="E101" s="297">
        <v>262.385</v>
      </c>
      <c r="F101" s="305"/>
      <c r="G101" s="301">
        <v>24.626679999999997</v>
      </c>
      <c r="H101" s="268">
        <f t="shared" si="4"/>
        <v>6461.671431799999</v>
      </c>
    </row>
    <row r="102" spans="1:8" ht="15.75">
      <c r="A102" s="266" t="s">
        <v>270</v>
      </c>
      <c r="B102" s="279">
        <v>2</v>
      </c>
      <c r="C102" s="192" t="s">
        <v>134</v>
      </c>
      <c r="D102" s="192" t="s">
        <v>268</v>
      </c>
      <c r="E102" s="297">
        <v>80</v>
      </c>
      <c r="F102" s="305"/>
      <c r="G102" s="301">
        <v>52.06949999999999</v>
      </c>
      <c r="H102" s="268">
        <f t="shared" si="4"/>
        <v>4165.5599999999995</v>
      </c>
    </row>
    <row r="103" spans="1:8" ht="15.75">
      <c r="A103" s="266" t="s">
        <v>270</v>
      </c>
      <c r="B103" s="279">
        <v>3</v>
      </c>
      <c r="C103" s="192" t="s">
        <v>143</v>
      </c>
      <c r="D103" s="192" t="s">
        <v>263</v>
      </c>
      <c r="E103" s="297">
        <v>4.742103696256244</v>
      </c>
      <c r="F103" s="305"/>
      <c r="G103" s="301">
        <v>496.1048</v>
      </c>
      <c r="H103" s="268">
        <f t="shared" si="4"/>
        <v>2352.5804058104645</v>
      </c>
    </row>
    <row r="104" spans="1:8" ht="15.75">
      <c r="A104" s="266" t="s">
        <v>270</v>
      </c>
      <c r="B104" s="279">
        <v>4</v>
      </c>
      <c r="C104" s="192" t="s">
        <v>145</v>
      </c>
      <c r="D104" s="192" t="s">
        <v>263</v>
      </c>
      <c r="E104" s="297">
        <v>5.242103696256244</v>
      </c>
      <c r="F104" s="305"/>
      <c r="G104" s="301">
        <v>600.7679999999999</v>
      </c>
      <c r="H104" s="268">
        <f t="shared" si="4"/>
        <v>3149.2881533924706</v>
      </c>
    </row>
    <row r="105" spans="1:8" ht="15.75">
      <c r="A105" s="266" t="s">
        <v>270</v>
      </c>
      <c r="B105" s="279">
        <v>5</v>
      </c>
      <c r="C105" s="192" t="s">
        <v>131</v>
      </c>
      <c r="D105" s="192" t="s">
        <v>271</v>
      </c>
      <c r="E105" s="297">
        <v>5.41</v>
      </c>
      <c r="F105" s="305"/>
      <c r="G105" s="301">
        <v>31.379488</v>
      </c>
      <c r="H105" s="268">
        <f t="shared" si="4"/>
        <v>169.76303008</v>
      </c>
    </row>
    <row r="106" spans="1:8" ht="15.75">
      <c r="A106" s="266" t="s">
        <v>270</v>
      </c>
      <c r="B106" s="279">
        <v>6</v>
      </c>
      <c r="C106" s="192" t="s">
        <v>193</v>
      </c>
      <c r="D106" s="192" t="s">
        <v>263</v>
      </c>
      <c r="E106" s="297">
        <v>35</v>
      </c>
      <c r="F106" s="305"/>
      <c r="G106" s="301">
        <v>25</v>
      </c>
      <c r="H106" s="268">
        <f t="shared" si="4"/>
        <v>875</v>
      </c>
    </row>
    <row r="107" spans="1:8" ht="15.75">
      <c r="A107" s="266" t="s">
        <v>270</v>
      </c>
      <c r="B107" s="279">
        <v>7</v>
      </c>
      <c r="C107" s="192" t="s">
        <v>159</v>
      </c>
      <c r="D107" s="192" t="s">
        <v>263</v>
      </c>
      <c r="E107" s="297">
        <v>4.242103696256244</v>
      </c>
      <c r="F107" s="305"/>
      <c r="G107" s="301">
        <v>681.625</v>
      </c>
      <c r="H107" s="268">
        <f t="shared" si="4"/>
        <v>2891.523931960662</v>
      </c>
    </row>
    <row r="108" spans="1:8" ht="15.75">
      <c r="A108" s="266" t="s">
        <v>270</v>
      </c>
      <c r="B108" s="279">
        <v>8</v>
      </c>
      <c r="C108" s="192" t="s">
        <v>158</v>
      </c>
      <c r="D108" s="192" t="s">
        <v>263</v>
      </c>
      <c r="E108" s="297">
        <v>6.242103696256244</v>
      </c>
      <c r="F108" s="305"/>
      <c r="G108" s="301">
        <v>2865.6249999999995</v>
      </c>
      <c r="H108" s="268">
        <f t="shared" si="4"/>
        <v>17887.528404584296</v>
      </c>
    </row>
    <row r="109" spans="1:8" ht="15.75">
      <c r="A109" s="266" t="s">
        <v>270</v>
      </c>
      <c r="B109" s="279">
        <v>9</v>
      </c>
      <c r="C109" s="192" t="s">
        <v>147</v>
      </c>
      <c r="D109" s="192" t="s">
        <v>271</v>
      </c>
      <c r="E109" s="297">
        <v>1</v>
      </c>
      <c r="F109" s="305"/>
      <c r="G109" s="301">
        <v>168.3644</v>
      </c>
      <c r="H109" s="268">
        <f t="shared" si="4"/>
        <v>168.3644</v>
      </c>
    </row>
    <row r="110" spans="1:8" ht="15.75">
      <c r="A110" s="266" t="s">
        <v>270</v>
      </c>
      <c r="B110" s="279">
        <v>10</v>
      </c>
      <c r="C110" s="192" t="s">
        <v>194</v>
      </c>
      <c r="D110" s="192" t="s">
        <v>268</v>
      </c>
      <c r="E110" s="297">
        <v>80</v>
      </c>
      <c r="F110" s="305"/>
      <c r="G110" s="301">
        <v>2.5608</v>
      </c>
      <c r="H110" s="268">
        <f t="shared" si="4"/>
        <v>204.864</v>
      </c>
    </row>
    <row r="111" spans="1:8" ht="15.75">
      <c r="A111" s="280" t="s">
        <v>270</v>
      </c>
      <c r="B111" s="281">
        <v>11</v>
      </c>
      <c r="C111" s="278" t="s">
        <v>139</v>
      </c>
      <c r="D111" s="278" t="s">
        <v>268</v>
      </c>
      <c r="E111" s="297">
        <v>80</v>
      </c>
      <c r="F111" s="305"/>
      <c r="G111" s="302">
        <v>88.29283880000001</v>
      </c>
      <c r="H111" s="268">
        <f t="shared" si="4"/>
        <v>7063.427104000001</v>
      </c>
    </row>
    <row r="112" spans="1:8" ht="16.5" thickBot="1">
      <c r="A112" s="270" t="s">
        <v>270</v>
      </c>
      <c r="B112" s="271">
        <v>12</v>
      </c>
      <c r="C112" s="271" t="s">
        <v>155</v>
      </c>
      <c r="D112" s="271" t="s">
        <v>268</v>
      </c>
      <c r="E112" s="298">
        <v>80</v>
      </c>
      <c r="F112" s="305"/>
      <c r="G112" s="303">
        <v>92.16239999999999</v>
      </c>
      <c r="H112" s="273">
        <f t="shared" si="4"/>
        <v>7372.991999999999</v>
      </c>
    </row>
    <row r="113" spans="1:7" ht="16.5" thickTop="1">
      <c r="A113" s="282"/>
      <c r="B113" s="282"/>
      <c r="C113" s="282"/>
      <c r="D113" s="282"/>
      <c r="E113" s="283"/>
      <c r="F113" s="284"/>
      <c r="G113" s="284"/>
    </row>
    <row r="114" spans="2:3" ht="12.75">
      <c r="B114" s="285" t="s">
        <v>272</v>
      </c>
      <c r="C114" s="285"/>
    </row>
    <row r="115" spans="2:3" ht="12.75">
      <c r="B115" s="286" t="s">
        <v>257</v>
      </c>
      <c r="C115" s="286" t="s">
        <v>273</v>
      </c>
    </row>
    <row r="116" spans="2:3" ht="12.75">
      <c r="B116" s="286" t="s">
        <v>270</v>
      </c>
      <c r="C116" s="286" t="s">
        <v>274</v>
      </c>
    </row>
    <row r="118" spans="2:6" ht="13.5" thickBot="1">
      <c r="B118" s="317" t="s">
        <v>246</v>
      </c>
      <c r="C118" s="317"/>
      <c r="D118" s="317"/>
      <c r="E118" s="109"/>
      <c r="F118" s="109"/>
    </row>
    <row r="119" spans="2:7" s="256" customFormat="1" ht="18" thickBot="1" thickTop="1">
      <c r="B119" s="257" t="s">
        <v>247</v>
      </c>
      <c r="C119" s="258" t="s">
        <v>252</v>
      </c>
      <c r="D119" s="308" t="s">
        <v>256</v>
      </c>
      <c r="E119" s="312"/>
      <c r="F119" s="299" t="s">
        <v>255</v>
      </c>
      <c r="G119" s="287" t="s">
        <v>124</v>
      </c>
    </row>
    <row r="120" spans="2:7" ht="16.5" thickTop="1">
      <c r="B120" s="274">
        <v>1</v>
      </c>
      <c r="C120" s="276" t="s">
        <v>216</v>
      </c>
      <c r="D120" s="309">
        <v>1</v>
      </c>
      <c r="E120" s="313"/>
      <c r="F120" s="300">
        <v>1</v>
      </c>
      <c r="G120" s="288">
        <f>F120*D120</f>
        <v>1</v>
      </c>
    </row>
    <row r="121" spans="2:7" ht="15.75">
      <c r="B121" s="266">
        <v>2</v>
      </c>
      <c r="C121" s="192" t="s">
        <v>132</v>
      </c>
      <c r="D121" s="310">
        <v>7</v>
      </c>
      <c r="E121" s="313"/>
      <c r="F121" s="301">
        <v>20.848000000000003</v>
      </c>
      <c r="G121" s="289">
        <f>F121*D121</f>
        <v>145.936</v>
      </c>
    </row>
    <row r="122" spans="2:7" ht="15.75">
      <c r="B122" s="266">
        <v>3</v>
      </c>
      <c r="C122" s="192" t="s">
        <v>137</v>
      </c>
      <c r="D122" s="310">
        <v>30</v>
      </c>
      <c r="E122" s="313"/>
      <c r="F122" s="301">
        <v>157.9216</v>
      </c>
      <c r="G122" s="289">
        <f>F122*D122</f>
        <v>4737.648</v>
      </c>
    </row>
    <row r="123" spans="2:7" ht="16.5" thickBot="1">
      <c r="B123" s="270">
        <v>4</v>
      </c>
      <c r="C123" s="271" t="s">
        <v>140</v>
      </c>
      <c r="D123" s="311">
        <v>7</v>
      </c>
      <c r="E123" s="313"/>
      <c r="F123" s="303">
        <v>141</v>
      </c>
      <c r="G123" s="290">
        <f>F123*D123</f>
        <v>987</v>
      </c>
    </row>
    <row r="124" spans="3:6" ht="13.5" thickTop="1">
      <c r="C124" s="93" t="s">
        <v>260</v>
      </c>
      <c r="F124" s="265">
        <f>0.02*SUM(G120:G123,G113:G113,H7:H22)</f>
        <v>824.5504300000001</v>
      </c>
    </row>
  </sheetData>
  <sheetProtection/>
  <autoFilter ref="B1:W86"/>
  <mergeCells count="4">
    <mergeCell ref="B5:D5"/>
    <mergeCell ref="A24:E24"/>
    <mergeCell ref="B118:D118"/>
    <mergeCell ref="A25:B25"/>
  </mergeCells>
  <printOptions/>
  <pageMargins left="0.75" right="0.75" top="0.25" bottom="0.46" header="0.17" footer="0.17"/>
  <pageSetup fitToHeight="0" fitToWidth="1" horizontalDpi="600" verticalDpi="600" orientation="landscape" scale="67"/>
  <headerFooter alignWithMargins="0">
    <oddFooter>&amp;CPage &amp;P&amp;R&amp;A</oddFooter>
  </headerFooter>
</worksheet>
</file>

<file path=xl/worksheets/sheet5.xml><?xml version="1.0" encoding="utf-8"?>
<worksheet xmlns="http://schemas.openxmlformats.org/spreadsheetml/2006/main" xmlns:r="http://schemas.openxmlformats.org/officeDocument/2006/relationships">
  <dimension ref="A1:I95"/>
  <sheetViews>
    <sheetView showGridLines="0" zoomScalePageLayoutView="0" workbookViewId="0" topLeftCell="A1">
      <selection activeCell="I24" sqref="I24"/>
    </sheetView>
  </sheetViews>
  <sheetFormatPr defaultColWidth="9.140625" defaultRowHeight="12.75"/>
  <cols>
    <col min="1" max="1" width="5.7109375" style="1" bestFit="1" customWidth="1"/>
    <col min="2" max="2" width="36.28125" style="1" bestFit="1" customWidth="1"/>
    <col min="3" max="3" width="9.421875" style="1" bestFit="1" customWidth="1"/>
    <col min="4" max="4" width="12.421875" style="1" bestFit="1" customWidth="1"/>
    <col min="5" max="5" width="7.8515625" style="1" bestFit="1" customWidth="1"/>
    <col min="6" max="6" width="11.00390625" style="3" bestFit="1" customWidth="1"/>
    <col min="7" max="7" width="14.7109375" style="3" bestFit="1" customWidth="1"/>
    <col min="8" max="8" width="11.00390625" style="3" customWidth="1"/>
    <col min="9" max="9" width="57.421875" style="3" bestFit="1" customWidth="1"/>
    <col min="10" max="10" width="11.8515625" style="1" bestFit="1" customWidth="1"/>
    <col min="11" max="16384" width="9.140625" style="1" customWidth="1"/>
  </cols>
  <sheetData>
    <row r="1" spans="1:5" ht="13.5" thickTop="1">
      <c r="A1" s="31" t="s">
        <v>348</v>
      </c>
      <c r="B1" s="32"/>
      <c r="C1" s="32"/>
      <c r="D1" s="32"/>
      <c r="E1" s="33"/>
    </row>
    <row r="2" spans="1:5" ht="12.75">
      <c r="A2" s="34">
        <v>1</v>
      </c>
      <c r="B2" s="35" t="s">
        <v>349</v>
      </c>
      <c r="C2" s="36">
        <v>39448</v>
      </c>
      <c r="D2" s="35"/>
      <c r="E2" s="37"/>
    </row>
    <row r="3" spans="1:5" ht="12.75">
      <c r="A3" s="34">
        <v>2</v>
      </c>
      <c r="B3" s="35" t="s">
        <v>350</v>
      </c>
      <c r="C3" s="35">
        <v>120</v>
      </c>
      <c r="D3" s="35" t="s">
        <v>392</v>
      </c>
      <c r="E3" s="37"/>
    </row>
    <row r="4" spans="1:5" ht="12.75">
      <c r="A4" s="34">
        <v>3</v>
      </c>
      <c r="B4" s="35" t="s">
        <v>351</v>
      </c>
      <c r="C4" s="36">
        <f>C2+C3</f>
        <v>39568</v>
      </c>
      <c r="D4" s="35"/>
      <c r="E4" s="37"/>
    </row>
    <row r="5" spans="1:5" ht="12.75">
      <c r="A5" s="34">
        <v>4</v>
      </c>
      <c r="B5" s="35" t="s">
        <v>352</v>
      </c>
      <c r="C5" s="35" t="s">
        <v>353</v>
      </c>
      <c r="D5" s="35"/>
      <c r="E5" s="37"/>
    </row>
    <row r="6" spans="1:5" ht="12.75">
      <c r="A6" s="34">
        <v>5</v>
      </c>
      <c r="B6" s="35" t="s">
        <v>385</v>
      </c>
      <c r="C6" s="35" t="s">
        <v>386</v>
      </c>
      <c r="D6" s="35"/>
      <c r="E6" s="37"/>
    </row>
    <row r="7" spans="1:5" ht="12.75">
      <c r="A7" s="34"/>
      <c r="B7" s="35"/>
      <c r="C7" s="35"/>
      <c r="D7" s="35"/>
      <c r="E7" s="37"/>
    </row>
    <row r="8" spans="1:5" ht="12.75">
      <c r="A8" s="34"/>
      <c r="B8" s="35"/>
      <c r="C8" s="35"/>
      <c r="D8" s="35"/>
      <c r="E8" s="37"/>
    </row>
    <row r="9" spans="1:5" ht="13.5" thickBot="1">
      <c r="A9" s="38"/>
      <c r="B9" s="39"/>
      <c r="C9" s="39"/>
      <c r="D9" s="39"/>
      <c r="E9" s="40"/>
    </row>
    <row r="10" ht="13.5" thickTop="1"/>
    <row r="13" ht="13.5" thickBot="1"/>
    <row r="14" spans="1:9" ht="15" thickBot="1" thickTop="1">
      <c r="A14" s="48" t="s">
        <v>297</v>
      </c>
      <c r="B14" s="49" t="s">
        <v>293</v>
      </c>
      <c r="C14" s="49" t="s">
        <v>5</v>
      </c>
      <c r="D14" s="49" t="s">
        <v>6</v>
      </c>
      <c r="E14" s="49" t="s">
        <v>296</v>
      </c>
      <c r="F14" s="50" t="s">
        <v>387</v>
      </c>
      <c r="G14" s="50" t="s">
        <v>467</v>
      </c>
      <c r="H14" s="50" t="s">
        <v>473</v>
      </c>
      <c r="I14" s="50" t="s">
        <v>370</v>
      </c>
    </row>
    <row r="15" spans="1:9" s="2" customFormat="1" ht="13.5" thickTop="1">
      <c r="A15" s="51"/>
      <c r="B15" s="52" t="s">
        <v>358</v>
      </c>
      <c r="C15" s="52"/>
      <c r="D15" s="52"/>
      <c r="E15" s="52"/>
      <c r="F15" s="53"/>
      <c r="G15" s="53" t="s">
        <v>372</v>
      </c>
      <c r="H15" s="53" t="s">
        <v>474</v>
      </c>
      <c r="I15" s="53"/>
    </row>
    <row r="16" spans="1:9" ht="12.75">
      <c r="A16" s="54">
        <v>1</v>
      </c>
      <c r="B16" s="55" t="s">
        <v>284</v>
      </c>
      <c r="C16" s="56" t="s">
        <v>35</v>
      </c>
      <c r="D16" s="57">
        <v>250.74</v>
      </c>
      <c r="E16" s="58">
        <v>2</v>
      </c>
      <c r="F16" s="59"/>
      <c r="G16" s="59" t="s">
        <v>468</v>
      </c>
      <c r="H16" s="59" t="s">
        <v>474</v>
      </c>
      <c r="I16" s="59" t="s">
        <v>388</v>
      </c>
    </row>
    <row r="17" spans="1:9" ht="12.75">
      <c r="A17" s="54">
        <v>2</v>
      </c>
      <c r="B17" s="60" t="s">
        <v>285</v>
      </c>
      <c r="C17" s="56" t="s">
        <v>36</v>
      </c>
      <c r="D17" s="57">
        <v>54.15</v>
      </c>
      <c r="E17" s="58">
        <v>3</v>
      </c>
      <c r="F17" s="59">
        <v>1</v>
      </c>
      <c r="G17" s="59" t="s">
        <v>468</v>
      </c>
      <c r="H17" s="59" t="s">
        <v>474</v>
      </c>
      <c r="I17" s="59"/>
    </row>
    <row r="18" spans="1:9" ht="12.75">
      <c r="A18" s="54">
        <v>3</v>
      </c>
      <c r="B18" s="60" t="s">
        <v>393</v>
      </c>
      <c r="C18" s="56" t="s">
        <v>36</v>
      </c>
      <c r="D18" s="57">
        <v>26.060000000000002</v>
      </c>
      <c r="E18" s="58">
        <v>3</v>
      </c>
      <c r="F18" s="59">
        <v>13</v>
      </c>
      <c r="G18" s="59" t="s">
        <v>468</v>
      </c>
      <c r="H18" s="59" t="s">
        <v>474</v>
      </c>
      <c r="I18" s="59"/>
    </row>
    <row r="19" spans="1:9" ht="12.75">
      <c r="A19" s="54">
        <v>4</v>
      </c>
      <c r="B19" s="61" t="s">
        <v>394</v>
      </c>
      <c r="C19" s="56" t="s">
        <v>35</v>
      </c>
      <c r="D19" s="57">
        <v>130.29</v>
      </c>
      <c r="E19" s="58">
        <v>4</v>
      </c>
      <c r="F19" s="59">
        <v>3</v>
      </c>
      <c r="G19" s="59" t="s">
        <v>468</v>
      </c>
      <c r="H19" s="59" t="s">
        <v>474</v>
      </c>
      <c r="I19" s="59"/>
    </row>
    <row r="20" spans="1:9" ht="12.75">
      <c r="A20" s="54">
        <v>5</v>
      </c>
      <c r="B20" s="61" t="s">
        <v>286</v>
      </c>
      <c r="C20" s="56" t="s">
        <v>35</v>
      </c>
      <c r="D20" s="57">
        <v>27.06</v>
      </c>
      <c r="E20" s="58">
        <v>1</v>
      </c>
      <c r="F20" s="59">
        <v>2</v>
      </c>
      <c r="G20" s="59" t="s">
        <v>469</v>
      </c>
      <c r="H20" s="59" t="s">
        <v>475</v>
      </c>
      <c r="I20" s="59" t="s">
        <v>476</v>
      </c>
    </row>
    <row r="21" spans="1:9" ht="12.75">
      <c r="A21" s="54">
        <v>6</v>
      </c>
      <c r="B21" s="61" t="s">
        <v>287</v>
      </c>
      <c r="C21" s="56" t="s">
        <v>36</v>
      </c>
      <c r="D21" s="57">
        <v>5.6899999999999995</v>
      </c>
      <c r="E21" s="58">
        <v>1</v>
      </c>
      <c r="F21" s="59">
        <v>8</v>
      </c>
      <c r="G21" s="59" t="s">
        <v>469</v>
      </c>
      <c r="H21" s="59" t="s">
        <v>475</v>
      </c>
      <c r="I21" s="59"/>
    </row>
    <row r="22" spans="1:9" ht="12.75">
      <c r="A22" s="54">
        <v>7</v>
      </c>
      <c r="B22" s="61" t="s">
        <v>288</v>
      </c>
      <c r="C22" s="56" t="s">
        <v>35</v>
      </c>
      <c r="D22" s="57">
        <v>161.68</v>
      </c>
      <c r="E22" s="58">
        <v>2</v>
      </c>
      <c r="F22" s="59" t="s">
        <v>377</v>
      </c>
      <c r="G22" s="59" t="s">
        <v>469</v>
      </c>
      <c r="H22" s="59" t="s">
        <v>475</v>
      </c>
      <c r="I22" s="59"/>
    </row>
    <row r="23" spans="1:9" ht="12.75">
      <c r="A23" s="54">
        <v>8</v>
      </c>
      <c r="B23" s="61" t="s">
        <v>289</v>
      </c>
      <c r="C23" s="56" t="s">
        <v>35</v>
      </c>
      <c r="D23" s="57">
        <v>55.959999999999994</v>
      </c>
      <c r="E23" s="58">
        <v>3</v>
      </c>
      <c r="F23" s="59">
        <v>13</v>
      </c>
      <c r="G23" s="59" t="s">
        <v>468</v>
      </c>
      <c r="H23" s="59" t="s">
        <v>474</v>
      </c>
      <c r="I23" s="59"/>
    </row>
    <row r="24" spans="1:9" ht="12.75">
      <c r="A24" s="54">
        <v>9</v>
      </c>
      <c r="B24" s="62" t="s">
        <v>292</v>
      </c>
      <c r="C24" s="63" t="s">
        <v>35</v>
      </c>
      <c r="D24" s="64">
        <v>55.959999999999994</v>
      </c>
      <c r="E24" s="58">
        <v>1</v>
      </c>
      <c r="F24" s="59">
        <v>6</v>
      </c>
      <c r="G24" s="59" t="s">
        <v>468</v>
      </c>
      <c r="H24" s="59" t="s">
        <v>474</v>
      </c>
      <c r="I24" s="59"/>
    </row>
    <row r="25" spans="1:9" ht="12.75">
      <c r="A25" s="54">
        <v>10</v>
      </c>
      <c r="B25" s="61" t="s">
        <v>48</v>
      </c>
      <c r="C25" s="56" t="s">
        <v>47</v>
      </c>
      <c r="D25" s="57">
        <v>312.9585</v>
      </c>
      <c r="E25" s="58">
        <v>7</v>
      </c>
      <c r="F25" s="65"/>
      <c r="G25" s="65" t="s">
        <v>470</v>
      </c>
      <c r="H25" s="65" t="s">
        <v>475</v>
      </c>
      <c r="I25" s="66"/>
    </row>
    <row r="26" spans="1:9" ht="12.75">
      <c r="A26" s="54">
        <v>11</v>
      </c>
      <c r="B26" s="61" t="s">
        <v>49</v>
      </c>
      <c r="C26" s="56" t="s">
        <v>47</v>
      </c>
      <c r="D26" s="57">
        <v>155.4</v>
      </c>
      <c r="E26" s="58">
        <v>7</v>
      </c>
      <c r="F26" s="65"/>
      <c r="G26" s="65" t="s">
        <v>470</v>
      </c>
      <c r="H26" s="65" t="s">
        <v>475</v>
      </c>
      <c r="I26" s="66"/>
    </row>
    <row r="27" spans="1:9" ht="25.5">
      <c r="A27" s="54">
        <v>12</v>
      </c>
      <c r="B27" s="67" t="s">
        <v>395</v>
      </c>
      <c r="C27" s="56" t="s">
        <v>36</v>
      </c>
      <c r="D27" s="57">
        <v>54.15</v>
      </c>
      <c r="E27" s="58">
        <v>10</v>
      </c>
      <c r="F27" s="59">
        <v>5</v>
      </c>
      <c r="G27" s="59" t="s">
        <v>468</v>
      </c>
      <c r="H27" s="59" t="s">
        <v>474</v>
      </c>
      <c r="I27" s="66"/>
    </row>
    <row r="28" spans="1:9" ht="25.5">
      <c r="A28" s="54">
        <v>13</v>
      </c>
      <c r="B28" s="67" t="s">
        <v>396</v>
      </c>
      <c r="C28" s="56" t="s">
        <v>36</v>
      </c>
      <c r="D28" s="57">
        <v>16.25</v>
      </c>
      <c r="E28" s="58">
        <v>4</v>
      </c>
      <c r="F28" s="59">
        <v>12</v>
      </c>
      <c r="G28" s="59" t="s">
        <v>468</v>
      </c>
      <c r="H28" s="59" t="s">
        <v>474</v>
      </c>
      <c r="I28" s="66"/>
    </row>
    <row r="29" spans="1:9" ht="12.75">
      <c r="A29" s="54">
        <v>14</v>
      </c>
      <c r="B29" s="61" t="s">
        <v>300</v>
      </c>
      <c r="C29" s="56" t="s">
        <v>36</v>
      </c>
      <c r="D29" s="57">
        <v>1.98</v>
      </c>
      <c r="E29" s="58">
        <v>1</v>
      </c>
      <c r="F29" s="59">
        <v>16</v>
      </c>
      <c r="G29" s="59" t="s">
        <v>469</v>
      </c>
      <c r="H29" s="59" t="s">
        <v>475</v>
      </c>
      <c r="I29" s="66"/>
    </row>
    <row r="30" spans="1:9" ht="12.75">
      <c r="A30" s="54">
        <v>15</v>
      </c>
      <c r="B30" s="61" t="s">
        <v>301</v>
      </c>
      <c r="C30" s="56" t="s">
        <v>36</v>
      </c>
      <c r="D30" s="57">
        <v>4.54</v>
      </c>
      <c r="E30" s="58">
        <v>1</v>
      </c>
      <c r="F30" s="59">
        <v>17</v>
      </c>
      <c r="G30" s="59" t="s">
        <v>469</v>
      </c>
      <c r="H30" s="59" t="s">
        <v>475</v>
      </c>
      <c r="I30" s="66"/>
    </row>
    <row r="31" spans="1:9" ht="12.75">
      <c r="A31" s="54">
        <v>16</v>
      </c>
      <c r="B31" s="61" t="s">
        <v>302</v>
      </c>
      <c r="C31" s="56" t="s">
        <v>35</v>
      </c>
      <c r="D31" s="57">
        <v>10.32</v>
      </c>
      <c r="E31" s="58">
        <v>1</v>
      </c>
      <c r="F31" s="59">
        <v>7</v>
      </c>
      <c r="G31" s="59" t="s">
        <v>468</v>
      </c>
      <c r="H31" s="59" t="s">
        <v>474</v>
      </c>
      <c r="I31" s="66"/>
    </row>
    <row r="32" spans="1:9" ht="12.75">
      <c r="A32" s="54">
        <v>17</v>
      </c>
      <c r="B32" s="61" t="s">
        <v>354</v>
      </c>
      <c r="C32" s="56" t="s">
        <v>35</v>
      </c>
      <c r="D32" s="57">
        <v>55.959999999999994</v>
      </c>
      <c r="E32" s="58">
        <v>7</v>
      </c>
      <c r="F32" s="59">
        <v>14</v>
      </c>
      <c r="G32" s="59" t="s">
        <v>468</v>
      </c>
      <c r="H32" s="59" t="s">
        <v>474</v>
      </c>
      <c r="I32" s="66"/>
    </row>
    <row r="33" spans="1:9" ht="12.75">
      <c r="A33" s="54">
        <v>18</v>
      </c>
      <c r="B33" s="62" t="s">
        <v>355</v>
      </c>
      <c r="C33" s="63" t="s">
        <v>35</v>
      </c>
      <c r="D33" s="64">
        <v>56.96</v>
      </c>
      <c r="E33" s="58">
        <v>1</v>
      </c>
      <c r="F33" s="59">
        <v>15</v>
      </c>
      <c r="G33" s="59" t="s">
        <v>468</v>
      </c>
      <c r="H33" s="59" t="s">
        <v>474</v>
      </c>
      <c r="I33" s="66"/>
    </row>
    <row r="34" spans="1:9" ht="12.75">
      <c r="A34" s="54">
        <v>19</v>
      </c>
      <c r="B34" s="67" t="s">
        <v>48</v>
      </c>
      <c r="C34" s="56" t="s">
        <v>47</v>
      </c>
      <c r="D34" s="57">
        <v>77.6965</v>
      </c>
      <c r="E34" s="58">
        <v>15</v>
      </c>
      <c r="F34" s="65"/>
      <c r="G34" s="65" t="s">
        <v>470</v>
      </c>
      <c r="H34" s="65" t="s">
        <v>475</v>
      </c>
      <c r="I34" s="66"/>
    </row>
    <row r="35" spans="1:9" ht="12.75">
      <c r="A35" s="54">
        <v>20</v>
      </c>
      <c r="B35" s="61" t="s">
        <v>49</v>
      </c>
      <c r="C35" s="56" t="s">
        <v>47</v>
      </c>
      <c r="D35" s="57">
        <v>217.02720000000002</v>
      </c>
      <c r="E35" s="58">
        <v>15</v>
      </c>
      <c r="F35" s="65"/>
      <c r="G35" s="65" t="s">
        <v>470</v>
      </c>
      <c r="H35" s="65" t="s">
        <v>475</v>
      </c>
      <c r="I35" s="66"/>
    </row>
    <row r="36" spans="1:9" ht="12.75">
      <c r="A36" s="54">
        <v>21</v>
      </c>
      <c r="B36" s="67" t="s">
        <v>303</v>
      </c>
      <c r="C36" s="56" t="s">
        <v>35</v>
      </c>
      <c r="D36" s="57">
        <v>229.24999999999997</v>
      </c>
      <c r="E36" s="58">
        <v>21</v>
      </c>
      <c r="F36" s="59">
        <v>18</v>
      </c>
      <c r="G36" s="59" t="s">
        <v>468</v>
      </c>
      <c r="H36" s="59" t="s">
        <v>474</v>
      </c>
      <c r="I36" s="59"/>
    </row>
    <row r="37" spans="1:9" ht="12.75">
      <c r="A37" s="54">
        <v>22</v>
      </c>
      <c r="B37" s="67" t="s">
        <v>304</v>
      </c>
      <c r="C37" s="56" t="s">
        <v>35</v>
      </c>
      <c r="D37" s="57">
        <v>54.53</v>
      </c>
      <c r="E37" s="58">
        <v>21</v>
      </c>
      <c r="F37" s="59">
        <v>21</v>
      </c>
      <c r="G37" s="59" t="s">
        <v>468</v>
      </c>
      <c r="H37" s="59" t="s">
        <v>474</v>
      </c>
      <c r="I37" s="59"/>
    </row>
    <row r="38" spans="1:9" ht="12.75">
      <c r="A38" s="54">
        <v>23</v>
      </c>
      <c r="B38" s="68" t="s">
        <v>397</v>
      </c>
      <c r="C38" s="56" t="s">
        <v>35</v>
      </c>
      <c r="D38" s="57">
        <v>223.26</v>
      </c>
      <c r="E38" s="58">
        <v>4</v>
      </c>
      <c r="F38" s="59">
        <v>27</v>
      </c>
      <c r="G38" s="59" t="s">
        <v>468</v>
      </c>
      <c r="H38" s="59" t="s">
        <v>474</v>
      </c>
      <c r="I38" s="59"/>
    </row>
    <row r="39" spans="1:9" ht="12.75">
      <c r="A39" s="54">
        <v>24</v>
      </c>
      <c r="B39" s="61" t="s">
        <v>398</v>
      </c>
      <c r="C39" s="56" t="s">
        <v>64</v>
      </c>
      <c r="D39" s="57">
        <v>48.8</v>
      </c>
      <c r="E39" s="58">
        <v>2</v>
      </c>
      <c r="F39" s="59" t="s">
        <v>362</v>
      </c>
      <c r="G39" s="59" t="s">
        <v>468</v>
      </c>
      <c r="H39" s="59" t="s">
        <v>474</v>
      </c>
      <c r="I39" s="59"/>
    </row>
    <row r="40" spans="1:9" ht="25.5">
      <c r="A40" s="54">
        <v>25</v>
      </c>
      <c r="B40" s="55" t="s">
        <v>399</v>
      </c>
      <c r="C40" s="69" t="s">
        <v>64</v>
      </c>
      <c r="D40" s="57">
        <v>358.15</v>
      </c>
      <c r="E40" s="58">
        <v>7</v>
      </c>
      <c r="F40" s="59">
        <v>15</v>
      </c>
      <c r="G40" s="59" t="s">
        <v>468</v>
      </c>
      <c r="H40" s="59" t="s">
        <v>474</v>
      </c>
      <c r="I40" s="59"/>
    </row>
    <row r="41" spans="1:9" ht="25.5">
      <c r="A41" s="54">
        <v>26</v>
      </c>
      <c r="B41" s="55" t="s">
        <v>400</v>
      </c>
      <c r="C41" s="69" t="s">
        <v>64</v>
      </c>
      <c r="D41" s="57">
        <v>105.4</v>
      </c>
      <c r="E41" s="58">
        <v>7</v>
      </c>
      <c r="F41" s="59">
        <v>15</v>
      </c>
      <c r="G41" s="59" t="s">
        <v>468</v>
      </c>
      <c r="H41" s="59" t="s">
        <v>474</v>
      </c>
      <c r="I41" s="59"/>
    </row>
    <row r="42" spans="1:9" ht="25.5">
      <c r="A42" s="54">
        <v>27</v>
      </c>
      <c r="B42" s="55" t="s">
        <v>401</v>
      </c>
      <c r="C42" s="69" t="s">
        <v>64</v>
      </c>
      <c r="D42" s="57">
        <v>341.6</v>
      </c>
      <c r="E42" s="58">
        <v>3</v>
      </c>
      <c r="F42" s="59" t="s">
        <v>361</v>
      </c>
      <c r="G42" s="59" t="s">
        <v>468</v>
      </c>
      <c r="H42" s="59" t="s">
        <v>474</v>
      </c>
      <c r="I42" s="59"/>
    </row>
    <row r="43" spans="1:9" ht="12.75">
      <c r="A43" s="54">
        <v>28</v>
      </c>
      <c r="B43" s="70" t="s">
        <v>402</v>
      </c>
      <c r="C43" s="69" t="s">
        <v>35</v>
      </c>
      <c r="D43" s="57">
        <v>135.3</v>
      </c>
      <c r="E43" s="58">
        <v>4</v>
      </c>
      <c r="F43" s="59">
        <v>36</v>
      </c>
      <c r="G43" s="59" t="s">
        <v>468</v>
      </c>
      <c r="H43" s="59" t="s">
        <v>474</v>
      </c>
      <c r="I43" s="59"/>
    </row>
    <row r="44" spans="1:9" ht="25.5">
      <c r="A44" s="54">
        <v>29</v>
      </c>
      <c r="B44" s="70" t="s">
        <v>68</v>
      </c>
      <c r="C44" s="69" t="s">
        <v>35</v>
      </c>
      <c r="D44" s="57">
        <v>26.32</v>
      </c>
      <c r="E44" s="58">
        <v>1</v>
      </c>
      <c r="F44" s="59">
        <v>37</v>
      </c>
      <c r="G44" s="59" t="s">
        <v>468</v>
      </c>
      <c r="H44" s="59" t="s">
        <v>474</v>
      </c>
      <c r="I44" s="59"/>
    </row>
    <row r="45" spans="1:9" ht="12.75">
      <c r="A45" s="54">
        <v>30</v>
      </c>
      <c r="B45" s="70" t="s">
        <v>403</v>
      </c>
      <c r="C45" s="70" t="s">
        <v>64</v>
      </c>
      <c r="D45" s="57">
        <v>68.19999999999999</v>
      </c>
      <c r="E45" s="58">
        <v>1</v>
      </c>
      <c r="F45" s="59">
        <v>37</v>
      </c>
      <c r="G45" s="59" t="s">
        <v>468</v>
      </c>
      <c r="H45" s="59" t="s">
        <v>474</v>
      </c>
      <c r="I45" s="59"/>
    </row>
    <row r="46" spans="1:9" ht="12.75">
      <c r="A46" s="54">
        <v>31</v>
      </c>
      <c r="B46" s="70" t="s">
        <v>312</v>
      </c>
      <c r="C46" s="69" t="s">
        <v>73</v>
      </c>
      <c r="D46" s="57">
        <v>3</v>
      </c>
      <c r="E46" s="58">
        <v>2</v>
      </c>
      <c r="F46" s="59" t="s">
        <v>363</v>
      </c>
      <c r="G46" s="59" t="s">
        <v>468</v>
      </c>
      <c r="H46" s="59" t="s">
        <v>474</v>
      </c>
      <c r="I46" s="59"/>
    </row>
    <row r="47" spans="1:9" ht="12.75">
      <c r="A47" s="54">
        <v>32</v>
      </c>
      <c r="B47" s="61" t="s">
        <v>313</v>
      </c>
      <c r="C47" s="69" t="s">
        <v>73</v>
      </c>
      <c r="D47" s="57">
        <v>5</v>
      </c>
      <c r="E47" s="58">
        <v>2</v>
      </c>
      <c r="F47" s="59">
        <v>37</v>
      </c>
      <c r="G47" s="59" t="s">
        <v>468</v>
      </c>
      <c r="H47" s="59" t="s">
        <v>474</v>
      </c>
      <c r="I47" s="59"/>
    </row>
    <row r="48" spans="1:9" ht="12.75">
      <c r="A48" s="54">
        <v>33</v>
      </c>
      <c r="B48" s="61" t="s">
        <v>314</v>
      </c>
      <c r="C48" s="69" t="s">
        <v>73</v>
      </c>
      <c r="D48" s="57">
        <v>5</v>
      </c>
      <c r="E48" s="58">
        <v>2</v>
      </c>
      <c r="F48" s="59">
        <v>32</v>
      </c>
      <c r="G48" s="59" t="s">
        <v>468</v>
      </c>
      <c r="H48" s="59" t="s">
        <v>474</v>
      </c>
      <c r="I48" s="59"/>
    </row>
    <row r="49" spans="1:9" ht="12.75">
      <c r="A49" s="54">
        <v>34</v>
      </c>
      <c r="B49" s="61" t="s">
        <v>315</v>
      </c>
      <c r="C49" s="69" t="s">
        <v>73</v>
      </c>
      <c r="D49" s="57">
        <v>5</v>
      </c>
      <c r="E49" s="58">
        <v>2</v>
      </c>
      <c r="F49" s="59">
        <v>32</v>
      </c>
      <c r="G49" s="59" t="s">
        <v>468</v>
      </c>
      <c r="H49" s="59" t="s">
        <v>474</v>
      </c>
      <c r="I49" s="59"/>
    </row>
    <row r="50" spans="1:9" ht="12.75">
      <c r="A50" s="54">
        <v>35</v>
      </c>
      <c r="B50" s="61" t="s">
        <v>316</v>
      </c>
      <c r="C50" s="69" t="s">
        <v>73</v>
      </c>
      <c r="D50" s="57">
        <v>5</v>
      </c>
      <c r="E50" s="58">
        <v>2</v>
      </c>
      <c r="F50" s="59">
        <v>32</v>
      </c>
      <c r="G50" s="59" t="s">
        <v>468</v>
      </c>
      <c r="H50" s="59" t="s">
        <v>474</v>
      </c>
      <c r="I50" s="59"/>
    </row>
    <row r="51" spans="1:9" ht="12.75">
      <c r="A51" s="54">
        <v>36</v>
      </c>
      <c r="B51" s="61" t="s">
        <v>317</v>
      </c>
      <c r="C51" s="69" t="s">
        <v>35</v>
      </c>
      <c r="D51" s="57">
        <v>324.03</v>
      </c>
      <c r="E51" s="58">
        <v>15</v>
      </c>
      <c r="F51" s="59" t="s">
        <v>364</v>
      </c>
      <c r="G51" s="59" t="s">
        <v>468</v>
      </c>
      <c r="H51" s="59" t="s">
        <v>474</v>
      </c>
      <c r="I51" s="59"/>
    </row>
    <row r="52" spans="1:9" ht="12.75">
      <c r="A52" s="54">
        <v>37</v>
      </c>
      <c r="B52" s="61" t="s">
        <v>318</v>
      </c>
      <c r="C52" s="69" t="s">
        <v>35</v>
      </c>
      <c r="D52" s="57">
        <v>191.37</v>
      </c>
      <c r="E52" s="58">
        <v>15</v>
      </c>
      <c r="F52" s="59" t="s">
        <v>364</v>
      </c>
      <c r="G52" s="59" t="s">
        <v>468</v>
      </c>
      <c r="H52" s="59" t="s">
        <v>474</v>
      </c>
      <c r="I52" s="59"/>
    </row>
    <row r="53" spans="1:9" ht="12.75">
      <c r="A53" s="54">
        <v>38</v>
      </c>
      <c r="B53" s="61" t="s">
        <v>404</v>
      </c>
      <c r="C53" s="69" t="s">
        <v>35</v>
      </c>
      <c r="D53" s="57">
        <v>62.25</v>
      </c>
      <c r="E53" s="58">
        <v>15</v>
      </c>
      <c r="F53" s="59" t="s">
        <v>364</v>
      </c>
      <c r="G53" s="59" t="s">
        <v>468</v>
      </c>
      <c r="H53" s="59" t="s">
        <v>474</v>
      </c>
      <c r="I53" s="59"/>
    </row>
    <row r="54" spans="1:9" ht="25.5">
      <c r="A54" s="54">
        <v>39</v>
      </c>
      <c r="B54" s="61" t="s">
        <v>405</v>
      </c>
      <c r="C54" s="69" t="s">
        <v>35</v>
      </c>
      <c r="D54" s="57">
        <v>18</v>
      </c>
      <c r="E54" s="58">
        <v>3</v>
      </c>
      <c r="F54" s="59">
        <v>36</v>
      </c>
      <c r="G54" s="59" t="s">
        <v>468</v>
      </c>
      <c r="H54" s="59" t="s">
        <v>474</v>
      </c>
      <c r="I54" s="59"/>
    </row>
    <row r="55" spans="1:9" ht="12.75">
      <c r="A55" s="54">
        <v>40</v>
      </c>
      <c r="B55" s="61" t="s">
        <v>278</v>
      </c>
      <c r="C55" s="69" t="s">
        <v>35</v>
      </c>
      <c r="D55" s="57">
        <v>18</v>
      </c>
      <c r="E55" s="58">
        <v>1</v>
      </c>
      <c r="F55" s="59" t="s">
        <v>367</v>
      </c>
      <c r="G55" s="59" t="s">
        <v>468</v>
      </c>
      <c r="H55" s="59" t="s">
        <v>474</v>
      </c>
      <c r="I55" s="59"/>
    </row>
    <row r="56" spans="1:9" ht="12.75">
      <c r="A56" s="54">
        <v>41</v>
      </c>
      <c r="B56" s="61" t="s">
        <v>85</v>
      </c>
      <c r="C56" s="69" t="s">
        <v>35</v>
      </c>
      <c r="D56" s="57">
        <v>54.6</v>
      </c>
      <c r="E56" s="58">
        <v>1</v>
      </c>
      <c r="F56" s="59">
        <v>40</v>
      </c>
      <c r="G56" s="59" t="s">
        <v>468</v>
      </c>
      <c r="H56" s="59" t="s">
        <v>474</v>
      </c>
      <c r="I56" s="59"/>
    </row>
    <row r="57" spans="1:9" ht="12.75">
      <c r="A57" s="54">
        <v>42</v>
      </c>
      <c r="B57" s="61" t="s">
        <v>321</v>
      </c>
      <c r="C57" s="69" t="s">
        <v>35</v>
      </c>
      <c r="D57" s="57">
        <v>54</v>
      </c>
      <c r="E57" s="58">
        <v>3</v>
      </c>
      <c r="F57" s="59">
        <v>39</v>
      </c>
      <c r="G57" s="59" t="s">
        <v>468</v>
      </c>
      <c r="H57" s="59" t="s">
        <v>474</v>
      </c>
      <c r="I57" s="59"/>
    </row>
    <row r="58" spans="1:9" ht="25.5">
      <c r="A58" s="54">
        <v>43</v>
      </c>
      <c r="B58" s="61" t="s">
        <v>322</v>
      </c>
      <c r="C58" s="69" t="s">
        <v>35</v>
      </c>
      <c r="D58" s="57">
        <v>85.8</v>
      </c>
      <c r="E58" s="58">
        <v>3</v>
      </c>
      <c r="F58" s="59">
        <v>42</v>
      </c>
      <c r="G58" s="59" t="s">
        <v>468</v>
      </c>
      <c r="H58" s="59" t="s">
        <v>474</v>
      </c>
      <c r="I58" s="59"/>
    </row>
    <row r="59" spans="1:9" ht="12.75">
      <c r="A59" s="54">
        <v>44</v>
      </c>
      <c r="B59" s="61" t="s">
        <v>89</v>
      </c>
      <c r="C59" s="69" t="s">
        <v>35</v>
      </c>
      <c r="D59" s="57">
        <v>62.25</v>
      </c>
      <c r="E59" s="58">
        <v>2</v>
      </c>
      <c r="F59" s="59">
        <v>38</v>
      </c>
      <c r="G59" s="59" t="s">
        <v>468</v>
      </c>
      <c r="H59" s="59" t="s">
        <v>474</v>
      </c>
      <c r="I59" s="59"/>
    </row>
    <row r="60" spans="1:9" ht="25.5">
      <c r="A60" s="54">
        <v>45</v>
      </c>
      <c r="B60" s="61" t="s">
        <v>406</v>
      </c>
      <c r="C60" s="69" t="s">
        <v>35</v>
      </c>
      <c r="D60" s="57">
        <v>23.28</v>
      </c>
      <c r="E60" s="58">
        <v>2</v>
      </c>
      <c r="F60" s="59">
        <v>37</v>
      </c>
      <c r="G60" s="59" t="s">
        <v>468</v>
      </c>
      <c r="H60" s="59" t="s">
        <v>474</v>
      </c>
      <c r="I60" s="59"/>
    </row>
    <row r="61" spans="1:9" ht="12.75">
      <c r="A61" s="54">
        <v>46</v>
      </c>
      <c r="B61" s="61" t="s">
        <v>365</v>
      </c>
      <c r="C61" s="71"/>
      <c r="D61" s="57">
        <v>10.26</v>
      </c>
      <c r="E61" s="58">
        <v>1</v>
      </c>
      <c r="F61" s="59" t="s">
        <v>366</v>
      </c>
      <c r="G61" s="59" t="s">
        <v>468</v>
      </c>
      <c r="H61" s="59" t="s">
        <v>474</v>
      </c>
      <c r="I61" s="59"/>
    </row>
    <row r="62" spans="1:9" ht="25.5">
      <c r="A62" s="54">
        <v>47</v>
      </c>
      <c r="B62" s="61" t="s">
        <v>324</v>
      </c>
      <c r="C62" s="69" t="s">
        <v>35</v>
      </c>
      <c r="D62" s="57">
        <v>324.03</v>
      </c>
      <c r="E62" s="58">
        <v>15</v>
      </c>
      <c r="F62" s="59">
        <v>36</v>
      </c>
      <c r="G62" s="59" t="s">
        <v>468</v>
      </c>
      <c r="H62" s="59" t="s">
        <v>474</v>
      </c>
      <c r="I62" s="59"/>
    </row>
    <row r="63" spans="1:9" ht="25.5">
      <c r="A63" s="54">
        <v>48</v>
      </c>
      <c r="B63" s="61" t="s">
        <v>389</v>
      </c>
      <c r="C63" s="69" t="s">
        <v>35</v>
      </c>
      <c r="D63" s="57">
        <v>191.37</v>
      </c>
      <c r="E63" s="58">
        <v>15</v>
      </c>
      <c r="F63" s="59">
        <v>37</v>
      </c>
      <c r="G63" s="59" t="s">
        <v>468</v>
      </c>
      <c r="H63" s="59" t="s">
        <v>474</v>
      </c>
      <c r="I63" s="59"/>
    </row>
    <row r="64" spans="1:9" ht="12.75">
      <c r="A64" s="54">
        <v>49</v>
      </c>
      <c r="B64" s="61" t="s">
        <v>326</v>
      </c>
      <c r="C64" s="69" t="s">
        <v>35</v>
      </c>
      <c r="D64" s="57">
        <v>135.3</v>
      </c>
      <c r="E64" s="58">
        <v>7</v>
      </c>
      <c r="F64" s="59">
        <v>38</v>
      </c>
      <c r="G64" s="59" t="s">
        <v>468</v>
      </c>
      <c r="H64" s="59" t="s">
        <v>474</v>
      </c>
      <c r="I64" s="59"/>
    </row>
    <row r="65" spans="1:9" ht="12.75">
      <c r="A65" s="54">
        <v>50</v>
      </c>
      <c r="B65" s="72" t="s">
        <v>327</v>
      </c>
      <c r="C65" s="69" t="s">
        <v>73</v>
      </c>
      <c r="D65" s="57">
        <v>2</v>
      </c>
      <c r="E65" s="58">
        <v>1</v>
      </c>
      <c r="F65" s="59">
        <v>44</v>
      </c>
      <c r="G65" s="59" t="s">
        <v>471</v>
      </c>
      <c r="H65" s="59" t="s">
        <v>474</v>
      </c>
      <c r="I65" s="59"/>
    </row>
    <row r="66" spans="1:9" ht="12.75">
      <c r="A66" s="54">
        <v>51</v>
      </c>
      <c r="B66" s="61" t="s">
        <v>328</v>
      </c>
      <c r="C66" s="69" t="s">
        <v>73</v>
      </c>
      <c r="D66" s="57">
        <v>2</v>
      </c>
      <c r="E66" s="58">
        <v>1</v>
      </c>
      <c r="F66" s="59">
        <v>44</v>
      </c>
      <c r="G66" s="59" t="s">
        <v>471</v>
      </c>
      <c r="H66" s="59" t="s">
        <v>474</v>
      </c>
      <c r="I66" s="59"/>
    </row>
    <row r="67" spans="1:9" ht="12.75">
      <c r="A67" s="54">
        <v>52</v>
      </c>
      <c r="B67" s="61" t="s">
        <v>407</v>
      </c>
      <c r="C67" s="69" t="s">
        <v>73</v>
      </c>
      <c r="D67" s="57">
        <v>2</v>
      </c>
      <c r="E67" s="58">
        <v>1</v>
      </c>
      <c r="F67" s="59">
        <v>44</v>
      </c>
      <c r="G67" s="59" t="s">
        <v>471</v>
      </c>
      <c r="H67" s="59" t="s">
        <v>474</v>
      </c>
      <c r="I67" s="59"/>
    </row>
    <row r="68" spans="1:9" ht="12.75">
      <c r="A68" s="54">
        <v>53</v>
      </c>
      <c r="B68" s="67" t="s">
        <v>408</v>
      </c>
      <c r="C68" s="69" t="s">
        <v>73</v>
      </c>
      <c r="D68" s="57">
        <v>4</v>
      </c>
      <c r="E68" s="58">
        <v>1</v>
      </c>
      <c r="F68" s="59">
        <v>44</v>
      </c>
      <c r="G68" s="59" t="s">
        <v>471</v>
      </c>
      <c r="H68" s="59" t="s">
        <v>474</v>
      </c>
      <c r="I68" s="59"/>
    </row>
    <row r="69" spans="1:9" ht="12.75">
      <c r="A69" s="54">
        <v>54</v>
      </c>
      <c r="B69" s="55" t="s">
        <v>331</v>
      </c>
      <c r="C69" s="69" t="s">
        <v>73</v>
      </c>
      <c r="D69" s="57">
        <v>2</v>
      </c>
      <c r="E69" s="58">
        <v>1</v>
      </c>
      <c r="F69" s="59">
        <v>42</v>
      </c>
      <c r="G69" s="59" t="s">
        <v>471</v>
      </c>
      <c r="H69" s="59" t="s">
        <v>474</v>
      </c>
      <c r="I69" s="59"/>
    </row>
    <row r="70" spans="1:9" ht="12.75">
      <c r="A70" s="54">
        <v>55</v>
      </c>
      <c r="B70" s="67" t="s">
        <v>409</v>
      </c>
      <c r="C70" s="69" t="s">
        <v>73</v>
      </c>
      <c r="D70" s="57">
        <v>2</v>
      </c>
      <c r="E70" s="58">
        <v>1</v>
      </c>
      <c r="F70" s="59">
        <v>44</v>
      </c>
      <c r="G70" s="59" t="s">
        <v>471</v>
      </c>
      <c r="H70" s="59" t="s">
        <v>474</v>
      </c>
      <c r="I70" s="59"/>
    </row>
    <row r="71" spans="1:9" ht="12.75">
      <c r="A71" s="54">
        <v>56</v>
      </c>
      <c r="B71" s="61" t="s">
        <v>410</v>
      </c>
      <c r="C71" s="69" t="s">
        <v>73</v>
      </c>
      <c r="D71" s="57">
        <v>2</v>
      </c>
      <c r="E71" s="58">
        <v>1</v>
      </c>
      <c r="F71" s="59">
        <v>42</v>
      </c>
      <c r="G71" s="59" t="s">
        <v>471</v>
      </c>
      <c r="H71" s="59" t="s">
        <v>474</v>
      </c>
      <c r="I71" s="59"/>
    </row>
    <row r="72" spans="1:9" ht="12.75">
      <c r="A72" s="54">
        <v>57</v>
      </c>
      <c r="B72" s="60" t="s">
        <v>334</v>
      </c>
      <c r="C72" s="69" t="s">
        <v>73</v>
      </c>
      <c r="D72" s="57">
        <v>2</v>
      </c>
      <c r="E72" s="58">
        <v>1</v>
      </c>
      <c r="F72" s="59">
        <v>47</v>
      </c>
      <c r="G72" s="59" t="s">
        <v>471</v>
      </c>
      <c r="H72" s="59" t="s">
        <v>474</v>
      </c>
      <c r="I72" s="59"/>
    </row>
    <row r="73" spans="1:9" ht="12.75">
      <c r="A73" s="54">
        <v>58</v>
      </c>
      <c r="B73" s="61" t="s">
        <v>335</v>
      </c>
      <c r="C73" s="69" t="s">
        <v>64</v>
      </c>
      <c r="D73" s="57">
        <v>12</v>
      </c>
      <c r="E73" s="58">
        <v>3</v>
      </c>
      <c r="F73" s="59">
        <v>36</v>
      </c>
      <c r="G73" s="59" t="s">
        <v>471</v>
      </c>
      <c r="H73" s="59" t="s">
        <v>474</v>
      </c>
      <c r="I73" s="59"/>
    </row>
    <row r="74" spans="1:9" ht="12.75">
      <c r="A74" s="54">
        <v>59</v>
      </c>
      <c r="B74" s="61" t="s">
        <v>338</v>
      </c>
      <c r="C74" s="69" t="s">
        <v>73</v>
      </c>
      <c r="D74" s="57">
        <v>4</v>
      </c>
      <c r="E74" s="58">
        <v>1</v>
      </c>
      <c r="F74" s="59">
        <v>58</v>
      </c>
      <c r="G74" s="59" t="s">
        <v>471</v>
      </c>
      <c r="H74" s="59" t="s">
        <v>474</v>
      </c>
      <c r="I74" s="59"/>
    </row>
    <row r="75" spans="1:9" ht="12.75">
      <c r="A75" s="54">
        <v>60</v>
      </c>
      <c r="B75" s="61" t="s">
        <v>336</v>
      </c>
      <c r="C75" s="69" t="s">
        <v>64</v>
      </c>
      <c r="D75" s="57">
        <v>7</v>
      </c>
      <c r="E75" s="58">
        <v>3</v>
      </c>
      <c r="F75" s="59">
        <v>36</v>
      </c>
      <c r="G75" s="59" t="s">
        <v>471</v>
      </c>
      <c r="H75" s="59" t="s">
        <v>474</v>
      </c>
      <c r="I75" s="59"/>
    </row>
    <row r="76" spans="1:9" ht="12.75">
      <c r="A76" s="54">
        <v>61</v>
      </c>
      <c r="B76" s="61" t="s">
        <v>337</v>
      </c>
      <c r="C76" s="69" t="s">
        <v>64</v>
      </c>
      <c r="D76" s="57">
        <v>3.5</v>
      </c>
      <c r="E76" s="58">
        <v>3</v>
      </c>
      <c r="F76" s="59">
        <v>36</v>
      </c>
      <c r="G76" s="59" t="s">
        <v>471</v>
      </c>
      <c r="H76" s="59" t="s">
        <v>474</v>
      </c>
      <c r="I76" s="59"/>
    </row>
    <row r="77" spans="1:9" ht="12.75">
      <c r="A77" s="54">
        <v>62</v>
      </c>
      <c r="B77" s="61" t="s">
        <v>339</v>
      </c>
      <c r="C77" s="69" t="s">
        <v>64</v>
      </c>
      <c r="D77" s="57">
        <v>24</v>
      </c>
      <c r="E77" s="58">
        <v>3</v>
      </c>
      <c r="F77" s="59">
        <v>37</v>
      </c>
      <c r="G77" s="59" t="s">
        <v>471</v>
      </c>
      <c r="H77" s="59" t="s">
        <v>474</v>
      </c>
      <c r="I77" s="59"/>
    </row>
    <row r="78" spans="1:9" ht="25.5">
      <c r="A78" s="54">
        <v>63</v>
      </c>
      <c r="B78" s="60" t="s">
        <v>411</v>
      </c>
      <c r="C78" s="69" t="s">
        <v>73</v>
      </c>
      <c r="D78" s="57">
        <v>3</v>
      </c>
      <c r="E78" s="58">
        <v>7</v>
      </c>
      <c r="F78" s="59">
        <v>45</v>
      </c>
      <c r="G78" s="59" t="s">
        <v>471</v>
      </c>
      <c r="H78" s="59" t="s">
        <v>474</v>
      </c>
      <c r="I78" s="59"/>
    </row>
    <row r="79" spans="1:9" ht="25.5">
      <c r="A79" s="54">
        <v>64</v>
      </c>
      <c r="B79" s="61" t="s">
        <v>412</v>
      </c>
      <c r="C79" s="69" t="s">
        <v>64</v>
      </c>
      <c r="D79" s="57">
        <v>90</v>
      </c>
      <c r="E79" s="58">
        <v>2</v>
      </c>
      <c r="F79" s="59">
        <v>36</v>
      </c>
      <c r="G79" s="59" t="s">
        <v>472</v>
      </c>
      <c r="H79" s="59" t="s">
        <v>474</v>
      </c>
      <c r="I79" s="59"/>
    </row>
    <row r="80" spans="1:9" ht="12.75">
      <c r="A80" s="54">
        <v>65</v>
      </c>
      <c r="B80" s="72" t="s">
        <v>413</v>
      </c>
      <c r="C80" s="69" t="s">
        <v>73</v>
      </c>
      <c r="D80" s="57">
        <v>1</v>
      </c>
      <c r="E80" s="58">
        <v>1</v>
      </c>
      <c r="F80" s="59">
        <v>36</v>
      </c>
      <c r="G80" s="59" t="s">
        <v>472</v>
      </c>
      <c r="H80" s="59" t="s">
        <v>474</v>
      </c>
      <c r="I80" s="59"/>
    </row>
    <row r="81" spans="1:9" ht="12.75">
      <c r="A81" s="54">
        <v>66</v>
      </c>
      <c r="B81" s="61" t="s">
        <v>414</v>
      </c>
      <c r="C81" s="69" t="s">
        <v>73</v>
      </c>
      <c r="D81" s="57">
        <v>15</v>
      </c>
      <c r="E81" s="58">
        <v>7</v>
      </c>
      <c r="F81" s="59">
        <v>36</v>
      </c>
      <c r="G81" s="59" t="s">
        <v>472</v>
      </c>
      <c r="H81" s="59" t="s">
        <v>474</v>
      </c>
      <c r="I81" s="59"/>
    </row>
    <row r="82" spans="1:9" ht="12.75">
      <c r="A82" s="54">
        <v>67</v>
      </c>
      <c r="B82" s="60" t="s">
        <v>342</v>
      </c>
      <c r="C82" s="69" t="s">
        <v>73</v>
      </c>
      <c r="D82" s="57">
        <v>10</v>
      </c>
      <c r="E82" s="58">
        <v>3</v>
      </c>
      <c r="F82" s="59">
        <v>47</v>
      </c>
      <c r="G82" s="59" t="s">
        <v>472</v>
      </c>
      <c r="H82" s="59" t="s">
        <v>474</v>
      </c>
      <c r="I82" s="59"/>
    </row>
    <row r="83" spans="1:9" ht="12.75">
      <c r="A83" s="54">
        <v>68</v>
      </c>
      <c r="B83" s="60" t="s">
        <v>343</v>
      </c>
      <c r="C83" s="69" t="s">
        <v>73</v>
      </c>
      <c r="D83" s="57">
        <v>10</v>
      </c>
      <c r="E83" s="58">
        <v>3</v>
      </c>
      <c r="F83" s="59">
        <v>47</v>
      </c>
      <c r="G83" s="59" t="s">
        <v>472</v>
      </c>
      <c r="H83" s="59" t="s">
        <v>474</v>
      </c>
      <c r="I83" s="59"/>
    </row>
    <row r="84" spans="1:9" ht="12.75">
      <c r="A84" s="54">
        <v>69</v>
      </c>
      <c r="B84" s="61" t="s">
        <v>344</v>
      </c>
      <c r="C84" s="69" t="s">
        <v>73</v>
      </c>
      <c r="D84" s="57">
        <v>10</v>
      </c>
      <c r="E84" s="58">
        <v>7</v>
      </c>
      <c r="F84" s="59">
        <v>36</v>
      </c>
      <c r="G84" s="59" t="s">
        <v>472</v>
      </c>
      <c r="H84" s="59" t="s">
        <v>474</v>
      </c>
      <c r="I84" s="59"/>
    </row>
    <row r="85" spans="1:9" ht="12.75">
      <c r="A85" s="54">
        <v>70</v>
      </c>
      <c r="B85" s="61" t="s">
        <v>415</v>
      </c>
      <c r="C85" s="69" t="s">
        <v>73</v>
      </c>
      <c r="D85" s="57">
        <v>10</v>
      </c>
      <c r="E85" s="58">
        <v>3</v>
      </c>
      <c r="F85" s="59">
        <v>47</v>
      </c>
      <c r="G85" s="59" t="s">
        <v>472</v>
      </c>
      <c r="H85" s="59" t="s">
        <v>474</v>
      </c>
      <c r="I85" s="59"/>
    </row>
    <row r="86" spans="1:9" ht="12.75">
      <c r="A86" s="54">
        <v>71</v>
      </c>
      <c r="B86" s="60" t="s">
        <v>416</v>
      </c>
      <c r="C86" s="69" t="s">
        <v>73</v>
      </c>
      <c r="D86" s="57">
        <v>5</v>
      </c>
      <c r="E86" s="58">
        <v>2</v>
      </c>
      <c r="F86" s="59" t="s">
        <v>369</v>
      </c>
      <c r="G86" s="59" t="s">
        <v>472</v>
      </c>
      <c r="H86" s="59" t="s">
        <v>474</v>
      </c>
      <c r="I86" s="59"/>
    </row>
    <row r="87" spans="1:9" ht="12.75">
      <c r="A87" s="54">
        <v>72</v>
      </c>
      <c r="B87" s="60" t="s">
        <v>347</v>
      </c>
      <c r="C87" s="69" t="s">
        <v>73</v>
      </c>
      <c r="D87" s="57">
        <v>10</v>
      </c>
      <c r="E87" s="58">
        <v>2</v>
      </c>
      <c r="F87" s="73" t="s">
        <v>369</v>
      </c>
      <c r="G87" s="59" t="s">
        <v>472</v>
      </c>
      <c r="H87" s="73" t="s">
        <v>474</v>
      </c>
      <c r="I87" s="73"/>
    </row>
    <row r="88" spans="1:9" s="315" customFormat="1" ht="13.5" thickBot="1">
      <c r="A88" s="74"/>
      <c r="B88" s="75" t="s">
        <v>359</v>
      </c>
      <c r="C88" s="75"/>
      <c r="D88" s="75"/>
      <c r="E88" s="76"/>
      <c r="F88" s="314"/>
      <c r="G88" s="314" t="s">
        <v>372</v>
      </c>
      <c r="H88" s="314" t="s">
        <v>474</v>
      </c>
      <c r="I88" s="314"/>
    </row>
    <row r="89" spans="1:9" ht="15" thickBot="1" thickTop="1">
      <c r="A89" s="77"/>
      <c r="B89" s="77"/>
      <c r="C89" s="77"/>
      <c r="D89" s="77"/>
      <c r="E89" s="77"/>
      <c r="F89" s="78"/>
      <c r="G89" s="78"/>
      <c r="H89" s="78"/>
      <c r="I89" s="78"/>
    </row>
    <row r="90" spans="1:9" ht="13.5" thickTop="1">
      <c r="A90" s="77"/>
      <c r="B90" s="79" t="s">
        <v>390</v>
      </c>
      <c r="C90" s="80"/>
      <c r="D90" s="80"/>
      <c r="E90" s="81"/>
      <c r="F90" s="78"/>
      <c r="G90" s="78"/>
      <c r="H90" s="78"/>
      <c r="I90" s="78"/>
    </row>
    <row r="91" spans="1:9" ht="12.75">
      <c r="A91" s="77"/>
      <c r="B91" s="82" t="s">
        <v>371</v>
      </c>
      <c r="C91" s="83">
        <v>1500</v>
      </c>
      <c r="D91" s="83" t="s">
        <v>373</v>
      </c>
      <c r="E91" s="84"/>
      <c r="F91" s="78"/>
      <c r="G91" s="78"/>
      <c r="H91" s="78"/>
      <c r="I91" s="78"/>
    </row>
    <row r="92" spans="1:9" ht="12.75">
      <c r="A92" s="77"/>
      <c r="B92" s="82" t="s">
        <v>372</v>
      </c>
      <c r="C92" s="83">
        <v>6000</v>
      </c>
      <c r="D92" s="83" t="s">
        <v>373</v>
      </c>
      <c r="E92" s="84"/>
      <c r="F92" s="78"/>
      <c r="G92" s="78"/>
      <c r="H92" s="78"/>
      <c r="I92" s="78"/>
    </row>
    <row r="93" spans="1:9" ht="12.75">
      <c r="A93" s="77"/>
      <c r="B93" s="82" t="s">
        <v>374</v>
      </c>
      <c r="C93" s="83">
        <v>6000</v>
      </c>
      <c r="D93" s="83" t="s">
        <v>373</v>
      </c>
      <c r="E93" s="84"/>
      <c r="F93" s="78"/>
      <c r="G93" s="78"/>
      <c r="H93" s="78"/>
      <c r="I93" s="78"/>
    </row>
    <row r="94" spans="1:9" ht="12.75">
      <c r="A94" s="77"/>
      <c r="B94" s="82" t="s">
        <v>375</v>
      </c>
      <c r="C94" s="83">
        <v>7500</v>
      </c>
      <c r="D94" s="83" t="s">
        <v>373</v>
      </c>
      <c r="E94" s="84"/>
      <c r="F94" s="78"/>
      <c r="G94" s="78"/>
      <c r="H94" s="78"/>
      <c r="I94" s="78"/>
    </row>
    <row r="95" spans="1:9" ht="13.5" thickBot="1">
      <c r="A95" s="77"/>
      <c r="B95" s="85" t="s">
        <v>391</v>
      </c>
      <c r="C95" s="86">
        <v>10000</v>
      </c>
      <c r="D95" s="86" t="s">
        <v>373</v>
      </c>
      <c r="E95" s="87"/>
      <c r="F95" s="78"/>
      <c r="G95" s="78"/>
      <c r="H95" s="78"/>
      <c r="I95" s="78"/>
    </row>
    <row r="96" ht="13.5" thickTop="1"/>
  </sheetData>
  <sheetProtection/>
  <printOptions/>
  <pageMargins left="0.75" right="0.75" top="1" bottom="1" header="0.3" footer="0.3"/>
  <pageSetup horizontalDpi="600" verticalDpi="600" orientation="portrait"/>
  <legacyDrawing r:id="rId2"/>
  <oleObjects>
    <oleObject progId="Equation.3" shapeId="630627" r:id="rId1"/>
  </oleObjects>
</worksheet>
</file>

<file path=xl/worksheets/sheet6.xml><?xml version="1.0" encoding="utf-8"?>
<worksheet xmlns="http://schemas.openxmlformats.org/spreadsheetml/2006/main" xmlns:r="http://schemas.openxmlformats.org/officeDocument/2006/relationships">
  <dimension ref="A1:G88"/>
  <sheetViews>
    <sheetView zoomScalePageLayoutView="0" workbookViewId="0" topLeftCell="A1">
      <selection activeCell="I20" sqref="I20"/>
    </sheetView>
  </sheetViews>
  <sheetFormatPr defaultColWidth="9.140625" defaultRowHeight="12.75"/>
  <cols>
    <col min="1" max="1" width="5.7109375" style="1" bestFit="1" customWidth="1"/>
    <col min="2" max="2" width="36.421875" style="1" customWidth="1"/>
    <col min="3" max="3" width="9.7109375" style="1" bestFit="1" customWidth="1"/>
    <col min="4" max="4" width="9.28125" style="1" bestFit="1" customWidth="1"/>
    <col min="5" max="5" width="12.00390625" style="1" customWidth="1"/>
    <col min="6" max="6" width="8.421875" style="3" bestFit="1" customWidth="1"/>
    <col min="7" max="7" width="22.140625" style="1" bestFit="1" customWidth="1"/>
    <col min="8" max="16384" width="9.140625" style="1" customWidth="1"/>
  </cols>
  <sheetData>
    <row r="1" spans="1:5" ht="13.5" thickTop="1">
      <c r="A1" s="31"/>
      <c r="B1" s="32"/>
      <c r="C1" s="32"/>
      <c r="D1" s="32"/>
      <c r="E1" s="33"/>
    </row>
    <row r="2" spans="1:5" ht="12.75">
      <c r="A2" s="34">
        <v>1</v>
      </c>
      <c r="B2" s="35" t="s">
        <v>382</v>
      </c>
      <c r="C2" s="36">
        <v>39370</v>
      </c>
      <c r="D2" s="35"/>
      <c r="E2" s="37"/>
    </row>
    <row r="3" spans="1:5" ht="12.75">
      <c r="A3" s="34"/>
      <c r="B3" s="35"/>
      <c r="C3" s="35"/>
      <c r="D3" s="35"/>
      <c r="E3" s="37"/>
    </row>
    <row r="4" spans="1:5" ht="12.75">
      <c r="A4" s="34"/>
      <c r="B4" s="35"/>
      <c r="C4" s="36"/>
      <c r="D4" s="35"/>
      <c r="E4" s="37"/>
    </row>
    <row r="5" spans="1:5" ht="12.75">
      <c r="A5" s="34"/>
      <c r="B5" s="35"/>
      <c r="C5" s="35"/>
      <c r="D5" s="35"/>
      <c r="E5" s="37"/>
    </row>
    <row r="6" spans="1:5" ht="12.75">
      <c r="A6" s="34"/>
      <c r="B6" s="35"/>
      <c r="C6" s="35"/>
      <c r="D6" s="35"/>
      <c r="E6" s="37"/>
    </row>
    <row r="7" spans="1:5" ht="12.75">
      <c r="A7" s="34"/>
      <c r="B7" s="35"/>
      <c r="C7" s="35"/>
      <c r="D7" s="35"/>
      <c r="E7" s="37"/>
    </row>
    <row r="8" spans="1:5" ht="12.75">
      <c r="A8" s="34"/>
      <c r="B8" s="35"/>
      <c r="C8" s="35"/>
      <c r="D8" s="35"/>
      <c r="E8" s="37"/>
    </row>
    <row r="9" spans="1:5" ht="13.5" thickBot="1">
      <c r="A9" s="38"/>
      <c r="B9" s="39"/>
      <c r="C9" s="39"/>
      <c r="D9" s="39"/>
      <c r="E9" s="40"/>
    </row>
    <row r="10" ht="13.5" thickTop="1"/>
    <row r="13" ht="13.5" thickBot="1"/>
    <row r="14" spans="1:7" s="28" customFormat="1" ht="27" customHeight="1" thickBot="1" thickTop="1">
      <c r="A14" s="41" t="s">
        <v>297</v>
      </c>
      <c r="B14" s="42" t="s">
        <v>293</v>
      </c>
      <c r="C14" s="42" t="s">
        <v>5</v>
      </c>
      <c r="D14" s="43" t="s">
        <v>378</v>
      </c>
      <c r="E14" s="43" t="s">
        <v>383</v>
      </c>
      <c r="F14" s="43" t="s">
        <v>379</v>
      </c>
      <c r="G14" s="46" t="s">
        <v>381</v>
      </c>
    </row>
    <row r="15" spans="1:7" s="2" customFormat="1" ht="13.5" thickTop="1">
      <c r="A15" s="4"/>
      <c r="B15" s="5" t="s">
        <v>358</v>
      </c>
      <c r="C15" s="5"/>
      <c r="D15" s="5"/>
      <c r="E15" s="5"/>
      <c r="F15" s="5"/>
      <c r="G15" s="6"/>
    </row>
    <row r="16" spans="1:7" ht="12.75">
      <c r="A16" s="7">
        <v>1</v>
      </c>
      <c r="B16" s="8" t="s">
        <v>284</v>
      </c>
      <c r="C16" s="9" t="s">
        <v>35</v>
      </c>
      <c r="D16" s="10">
        <v>250.74</v>
      </c>
      <c r="E16" s="47">
        <v>39360</v>
      </c>
      <c r="F16" s="44">
        <v>1</v>
      </c>
      <c r="G16" s="45" t="s">
        <v>380</v>
      </c>
    </row>
    <row r="17" spans="1:7" ht="12.75">
      <c r="A17" s="7">
        <v>2</v>
      </c>
      <c r="B17" s="13" t="s">
        <v>285</v>
      </c>
      <c r="C17" s="9" t="s">
        <v>36</v>
      </c>
      <c r="D17" s="10">
        <v>54.15</v>
      </c>
      <c r="E17" s="47">
        <v>39362</v>
      </c>
      <c r="F17" s="44">
        <v>0.3</v>
      </c>
      <c r="G17" s="45" t="s">
        <v>380</v>
      </c>
    </row>
    <row r="18" spans="1:7" ht="12.75">
      <c r="A18" s="7">
        <v>3</v>
      </c>
      <c r="B18" s="13" t="s">
        <v>294</v>
      </c>
      <c r="C18" s="9" t="s">
        <v>36</v>
      </c>
      <c r="D18" s="10">
        <v>26.060000000000002</v>
      </c>
      <c r="E18" s="10"/>
      <c r="F18" s="44"/>
      <c r="G18" s="45"/>
    </row>
    <row r="19" spans="1:7" ht="12.75">
      <c r="A19" s="7">
        <v>4</v>
      </c>
      <c r="B19" s="14" t="s">
        <v>295</v>
      </c>
      <c r="C19" s="9" t="s">
        <v>35</v>
      </c>
      <c r="D19" s="10">
        <v>130.29</v>
      </c>
      <c r="E19" s="10"/>
      <c r="F19" s="11"/>
      <c r="G19" s="12"/>
    </row>
    <row r="20" spans="1:7" ht="12.75">
      <c r="A20" s="7">
        <v>5</v>
      </c>
      <c r="B20" s="14" t="s">
        <v>286</v>
      </c>
      <c r="C20" s="9" t="s">
        <v>35</v>
      </c>
      <c r="D20" s="10">
        <v>27.06</v>
      </c>
      <c r="E20" s="47">
        <v>39365</v>
      </c>
      <c r="F20" s="44">
        <v>0.1</v>
      </c>
      <c r="G20" s="45" t="s">
        <v>384</v>
      </c>
    </row>
    <row r="21" spans="1:7" ht="12.75">
      <c r="A21" s="7">
        <v>6</v>
      </c>
      <c r="B21" s="14" t="s">
        <v>287</v>
      </c>
      <c r="C21" s="9" t="s">
        <v>36</v>
      </c>
      <c r="D21" s="10">
        <v>5.6899999999999995</v>
      </c>
      <c r="E21" s="10"/>
      <c r="F21" s="11"/>
      <c r="G21" s="12"/>
    </row>
    <row r="22" spans="1:7" ht="12.75">
      <c r="A22" s="7">
        <v>7</v>
      </c>
      <c r="B22" s="14" t="s">
        <v>288</v>
      </c>
      <c r="C22" s="9" t="s">
        <v>35</v>
      </c>
      <c r="D22" s="10">
        <v>161.68</v>
      </c>
      <c r="E22" s="10"/>
      <c r="F22" s="11"/>
      <c r="G22" s="12"/>
    </row>
    <row r="23" spans="1:7" ht="12.75">
      <c r="A23" s="7">
        <v>8</v>
      </c>
      <c r="B23" s="14" t="s">
        <v>289</v>
      </c>
      <c r="C23" s="9" t="s">
        <v>35</v>
      </c>
      <c r="D23" s="10">
        <v>55.959999999999994</v>
      </c>
      <c r="E23" s="10"/>
      <c r="F23" s="11"/>
      <c r="G23" s="12"/>
    </row>
    <row r="24" spans="1:7" ht="12.75">
      <c r="A24" s="7">
        <v>9</v>
      </c>
      <c r="B24" s="15" t="s">
        <v>292</v>
      </c>
      <c r="C24" s="16" t="s">
        <v>35</v>
      </c>
      <c r="D24" s="17">
        <v>55.959999999999994</v>
      </c>
      <c r="E24" s="17"/>
      <c r="F24" s="11"/>
      <c r="G24" s="12"/>
    </row>
    <row r="25" spans="1:7" ht="12.75">
      <c r="A25" s="7">
        <v>10</v>
      </c>
      <c r="B25" s="14" t="s">
        <v>48</v>
      </c>
      <c r="C25" s="9" t="s">
        <v>47</v>
      </c>
      <c r="D25" s="10">
        <v>312.9585</v>
      </c>
      <c r="E25" s="10"/>
      <c r="F25" s="11"/>
      <c r="G25" s="18"/>
    </row>
    <row r="26" spans="1:7" ht="12.75">
      <c r="A26" s="7">
        <v>11</v>
      </c>
      <c r="B26" s="14" t="s">
        <v>49</v>
      </c>
      <c r="C26" s="9" t="s">
        <v>47</v>
      </c>
      <c r="D26" s="10">
        <v>155.4</v>
      </c>
      <c r="E26" s="10"/>
      <c r="F26" s="11"/>
      <c r="G26" s="18"/>
    </row>
    <row r="27" spans="1:7" ht="25.5">
      <c r="A27" s="7">
        <v>12</v>
      </c>
      <c r="B27" s="19" t="s">
        <v>298</v>
      </c>
      <c r="C27" s="9" t="s">
        <v>36</v>
      </c>
      <c r="D27" s="10">
        <v>54.15</v>
      </c>
      <c r="E27" s="10"/>
      <c r="F27" s="11"/>
      <c r="G27" s="12"/>
    </row>
    <row r="28" spans="1:7" ht="25.5">
      <c r="A28" s="7">
        <v>13</v>
      </c>
      <c r="B28" s="19" t="s">
        <v>299</v>
      </c>
      <c r="C28" s="9" t="s">
        <v>36</v>
      </c>
      <c r="D28" s="10">
        <v>16.25</v>
      </c>
      <c r="E28" s="10"/>
      <c r="F28" s="11"/>
      <c r="G28" s="12"/>
    </row>
    <row r="29" spans="1:7" ht="12.75">
      <c r="A29" s="7">
        <v>14</v>
      </c>
      <c r="B29" s="14" t="s">
        <v>300</v>
      </c>
      <c r="C29" s="9" t="s">
        <v>36</v>
      </c>
      <c r="D29" s="10">
        <v>1.98</v>
      </c>
      <c r="E29" s="10"/>
      <c r="F29" s="11"/>
      <c r="G29" s="12"/>
    </row>
    <row r="30" spans="1:7" ht="12.75">
      <c r="A30" s="7">
        <v>15</v>
      </c>
      <c r="B30" s="14" t="s">
        <v>301</v>
      </c>
      <c r="C30" s="9" t="s">
        <v>36</v>
      </c>
      <c r="D30" s="10">
        <v>4.54</v>
      </c>
      <c r="E30" s="10"/>
      <c r="F30" s="11"/>
      <c r="G30" s="12"/>
    </row>
    <row r="31" spans="1:7" ht="12.75">
      <c r="A31" s="7">
        <v>16</v>
      </c>
      <c r="B31" s="14" t="s">
        <v>302</v>
      </c>
      <c r="C31" s="9" t="s">
        <v>35</v>
      </c>
      <c r="D31" s="10">
        <v>10.32</v>
      </c>
      <c r="E31" s="10"/>
      <c r="F31" s="11"/>
      <c r="G31" s="12"/>
    </row>
    <row r="32" spans="1:7" ht="12.75">
      <c r="A32" s="7">
        <v>17</v>
      </c>
      <c r="B32" s="14" t="s">
        <v>354</v>
      </c>
      <c r="C32" s="9" t="s">
        <v>35</v>
      </c>
      <c r="D32" s="10">
        <v>55.959999999999994</v>
      </c>
      <c r="E32" s="10"/>
      <c r="F32" s="11"/>
      <c r="G32" s="12"/>
    </row>
    <row r="33" spans="1:7" ht="12.75">
      <c r="A33" s="7">
        <v>18</v>
      </c>
      <c r="B33" s="15" t="s">
        <v>355</v>
      </c>
      <c r="C33" s="16" t="s">
        <v>35</v>
      </c>
      <c r="D33" s="17">
        <v>56.96</v>
      </c>
      <c r="E33" s="17"/>
      <c r="F33" s="11"/>
      <c r="G33" s="12"/>
    </row>
    <row r="34" spans="1:7" ht="12.75">
      <c r="A34" s="7">
        <v>19</v>
      </c>
      <c r="B34" s="19" t="s">
        <v>48</v>
      </c>
      <c r="C34" s="9" t="s">
        <v>47</v>
      </c>
      <c r="D34" s="10">
        <v>77.6965</v>
      </c>
      <c r="E34" s="10"/>
      <c r="F34" s="11"/>
      <c r="G34" s="18"/>
    </row>
    <row r="35" spans="1:7" ht="12.75">
      <c r="A35" s="7">
        <v>20</v>
      </c>
      <c r="B35" s="14" t="s">
        <v>49</v>
      </c>
      <c r="C35" s="9" t="s">
        <v>47</v>
      </c>
      <c r="D35" s="10">
        <v>217.02720000000002</v>
      </c>
      <c r="E35" s="10"/>
      <c r="F35" s="11"/>
      <c r="G35" s="18"/>
    </row>
    <row r="36" spans="1:7" ht="12.75">
      <c r="A36" s="7">
        <v>21</v>
      </c>
      <c r="B36" s="19" t="s">
        <v>303</v>
      </c>
      <c r="C36" s="9" t="s">
        <v>35</v>
      </c>
      <c r="D36" s="10">
        <v>229.24999999999997</v>
      </c>
      <c r="E36" s="10"/>
      <c r="F36" s="11"/>
      <c r="G36" s="12"/>
    </row>
    <row r="37" spans="1:7" ht="12.75">
      <c r="A37" s="7">
        <v>22</v>
      </c>
      <c r="B37" s="19" t="s">
        <v>304</v>
      </c>
      <c r="C37" s="9" t="s">
        <v>35</v>
      </c>
      <c r="D37" s="10">
        <v>54.53</v>
      </c>
      <c r="E37" s="10"/>
      <c r="F37" s="11"/>
      <c r="G37" s="12"/>
    </row>
    <row r="38" spans="1:7" ht="12.75">
      <c r="A38" s="7">
        <v>23</v>
      </c>
      <c r="B38" s="20" t="s">
        <v>305</v>
      </c>
      <c r="C38" s="9" t="s">
        <v>35</v>
      </c>
      <c r="D38" s="10">
        <v>223.26</v>
      </c>
      <c r="E38" s="10"/>
      <c r="F38" s="11"/>
      <c r="G38" s="12"/>
    </row>
    <row r="39" spans="1:7" ht="12.75">
      <c r="A39" s="7">
        <v>24</v>
      </c>
      <c r="B39" s="14" t="s">
        <v>306</v>
      </c>
      <c r="C39" s="9" t="s">
        <v>64</v>
      </c>
      <c r="D39" s="10">
        <v>48.8</v>
      </c>
      <c r="E39" s="10"/>
      <c r="F39" s="11"/>
      <c r="G39" s="12"/>
    </row>
    <row r="40" spans="1:7" ht="25.5">
      <c r="A40" s="7">
        <v>25</v>
      </c>
      <c r="B40" s="8" t="s">
        <v>307</v>
      </c>
      <c r="C40" s="21" t="s">
        <v>64</v>
      </c>
      <c r="D40" s="10">
        <v>358.15</v>
      </c>
      <c r="E40" s="10"/>
      <c r="F40" s="11"/>
      <c r="G40" s="12"/>
    </row>
    <row r="41" spans="1:7" ht="25.5">
      <c r="A41" s="7">
        <v>26</v>
      </c>
      <c r="B41" s="8" t="s">
        <v>308</v>
      </c>
      <c r="C41" s="21" t="s">
        <v>64</v>
      </c>
      <c r="D41" s="10">
        <v>105.4</v>
      </c>
      <c r="E41" s="10"/>
      <c r="F41" s="11"/>
      <c r="G41" s="12"/>
    </row>
    <row r="42" spans="1:7" ht="25.5">
      <c r="A42" s="7">
        <v>27</v>
      </c>
      <c r="B42" s="8" t="s">
        <v>309</v>
      </c>
      <c r="C42" s="21" t="s">
        <v>64</v>
      </c>
      <c r="D42" s="10">
        <v>341.6</v>
      </c>
      <c r="E42" s="10"/>
      <c r="F42" s="11"/>
      <c r="G42" s="12"/>
    </row>
    <row r="43" spans="1:7" ht="12.75">
      <c r="A43" s="7">
        <v>28</v>
      </c>
      <c r="B43" s="22" t="s">
        <v>310</v>
      </c>
      <c r="C43" s="21" t="s">
        <v>35</v>
      </c>
      <c r="D43" s="10">
        <v>135.3</v>
      </c>
      <c r="E43" s="10"/>
      <c r="F43" s="11"/>
      <c r="G43" s="12"/>
    </row>
    <row r="44" spans="1:7" ht="25.5">
      <c r="A44" s="7">
        <v>29</v>
      </c>
      <c r="B44" s="22" t="s">
        <v>68</v>
      </c>
      <c r="C44" s="21" t="s">
        <v>35</v>
      </c>
      <c r="D44" s="10">
        <v>26.32</v>
      </c>
      <c r="E44" s="10"/>
      <c r="F44" s="11"/>
      <c r="G44" s="12"/>
    </row>
    <row r="45" spans="1:7" ht="12.75">
      <c r="A45" s="7">
        <v>30</v>
      </c>
      <c r="B45" s="22" t="s">
        <v>311</v>
      </c>
      <c r="C45" s="22" t="s">
        <v>64</v>
      </c>
      <c r="D45" s="10">
        <v>68.19999999999999</v>
      </c>
      <c r="E45" s="10"/>
      <c r="F45" s="11"/>
      <c r="G45" s="12"/>
    </row>
    <row r="46" spans="1:7" ht="12.75">
      <c r="A46" s="7">
        <v>31</v>
      </c>
      <c r="B46" s="22" t="s">
        <v>312</v>
      </c>
      <c r="C46" s="21" t="s">
        <v>73</v>
      </c>
      <c r="D46" s="10">
        <v>3</v>
      </c>
      <c r="E46" s="10"/>
      <c r="F46" s="11"/>
      <c r="G46" s="12"/>
    </row>
    <row r="47" spans="1:7" ht="12.75">
      <c r="A47" s="7">
        <v>32</v>
      </c>
      <c r="B47" s="14" t="s">
        <v>313</v>
      </c>
      <c r="C47" s="21" t="s">
        <v>73</v>
      </c>
      <c r="D47" s="10">
        <v>5</v>
      </c>
      <c r="E47" s="10"/>
      <c r="F47" s="11"/>
      <c r="G47" s="12"/>
    </row>
    <row r="48" spans="1:7" ht="12.75">
      <c r="A48" s="7">
        <v>33</v>
      </c>
      <c r="B48" s="14" t="s">
        <v>314</v>
      </c>
      <c r="C48" s="21" t="s">
        <v>73</v>
      </c>
      <c r="D48" s="10">
        <v>5</v>
      </c>
      <c r="E48" s="10"/>
      <c r="F48" s="11"/>
      <c r="G48" s="12"/>
    </row>
    <row r="49" spans="1:7" ht="12.75">
      <c r="A49" s="7">
        <v>34</v>
      </c>
      <c r="B49" s="14" t="s">
        <v>315</v>
      </c>
      <c r="C49" s="21" t="s">
        <v>73</v>
      </c>
      <c r="D49" s="10">
        <v>5</v>
      </c>
      <c r="E49" s="10"/>
      <c r="F49" s="11"/>
      <c r="G49" s="12"/>
    </row>
    <row r="50" spans="1:7" ht="12.75">
      <c r="A50" s="7">
        <v>35</v>
      </c>
      <c r="B50" s="14" t="s">
        <v>316</v>
      </c>
      <c r="C50" s="21" t="s">
        <v>73</v>
      </c>
      <c r="D50" s="10">
        <v>5</v>
      </c>
      <c r="E50" s="10"/>
      <c r="F50" s="11"/>
      <c r="G50" s="12"/>
    </row>
    <row r="51" spans="1:7" ht="12.75">
      <c r="A51" s="7">
        <v>36</v>
      </c>
      <c r="B51" s="14" t="s">
        <v>317</v>
      </c>
      <c r="C51" s="21" t="s">
        <v>35</v>
      </c>
      <c r="D51" s="10">
        <v>324.03</v>
      </c>
      <c r="E51" s="10"/>
      <c r="F51" s="11"/>
      <c r="G51" s="12"/>
    </row>
    <row r="52" spans="1:7" ht="12.75">
      <c r="A52" s="7">
        <v>37</v>
      </c>
      <c r="B52" s="14" t="s">
        <v>318</v>
      </c>
      <c r="C52" s="21" t="s">
        <v>35</v>
      </c>
      <c r="D52" s="10">
        <v>191.37</v>
      </c>
      <c r="E52" s="10"/>
      <c r="F52" s="11"/>
      <c r="G52" s="12"/>
    </row>
    <row r="53" spans="1:7" ht="12.75">
      <c r="A53" s="7">
        <v>38</v>
      </c>
      <c r="B53" s="14" t="s">
        <v>319</v>
      </c>
      <c r="C53" s="21" t="s">
        <v>35</v>
      </c>
      <c r="D53" s="10">
        <v>62.25</v>
      </c>
      <c r="E53" s="10"/>
      <c r="F53" s="11"/>
      <c r="G53" s="12"/>
    </row>
    <row r="54" spans="1:7" ht="25.5">
      <c r="A54" s="7">
        <v>39</v>
      </c>
      <c r="B54" s="14" t="s">
        <v>320</v>
      </c>
      <c r="C54" s="21" t="s">
        <v>35</v>
      </c>
      <c r="D54" s="10">
        <v>18</v>
      </c>
      <c r="E54" s="10"/>
      <c r="F54" s="11"/>
      <c r="G54" s="12"/>
    </row>
    <row r="55" spans="1:7" ht="12.75">
      <c r="A55" s="7">
        <v>40</v>
      </c>
      <c r="B55" s="14" t="s">
        <v>278</v>
      </c>
      <c r="C55" s="21" t="s">
        <v>35</v>
      </c>
      <c r="D55" s="10">
        <v>18</v>
      </c>
      <c r="E55" s="10"/>
      <c r="F55" s="11"/>
      <c r="G55" s="12"/>
    </row>
    <row r="56" spans="1:7" ht="12.75">
      <c r="A56" s="7">
        <v>41</v>
      </c>
      <c r="B56" s="14" t="s">
        <v>85</v>
      </c>
      <c r="C56" s="21" t="s">
        <v>35</v>
      </c>
      <c r="D56" s="10">
        <v>54.6</v>
      </c>
      <c r="E56" s="10"/>
      <c r="F56" s="11"/>
      <c r="G56" s="12"/>
    </row>
    <row r="57" spans="1:7" ht="12.75">
      <c r="A57" s="7">
        <v>42</v>
      </c>
      <c r="B57" s="14" t="s">
        <v>321</v>
      </c>
      <c r="C57" s="21" t="s">
        <v>35</v>
      </c>
      <c r="D57" s="10">
        <v>54</v>
      </c>
      <c r="E57" s="10"/>
      <c r="F57" s="11"/>
      <c r="G57" s="12"/>
    </row>
    <row r="58" spans="1:7" ht="25.5">
      <c r="A58" s="7">
        <v>43</v>
      </c>
      <c r="B58" s="14" t="s">
        <v>322</v>
      </c>
      <c r="C58" s="21" t="s">
        <v>35</v>
      </c>
      <c r="D58" s="10">
        <v>85.8</v>
      </c>
      <c r="E58" s="10"/>
      <c r="F58" s="11"/>
      <c r="G58" s="12"/>
    </row>
    <row r="59" spans="1:7" ht="12.75">
      <c r="A59" s="7">
        <v>44</v>
      </c>
      <c r="B59" s="14" t="s">
        <v>89</v>
      </c>
      <c r="C59" s="21" t="s">
        <v>35</v>
      </c>
      <c r="D59" s="10">
        <v>62.25</v>
      </c>
      <c r="E59" s="10"/>
      <c r="F59" s="11"/>
      <c r="G59" s="12"/>
    </row>
    <row r="60" spans="1:7" ht="25.5">
      <c r="A60" s="7">
        <v>45</v>
      </c>
      <c r="B60" s="14" t="s">
        <v>323</v>
      </c>
      <c r="C60" s="21" t="s">
        <v>35</v>
      </c>
      <c r="D60" s="10">
        <v>23.28</v>
      </c>
      <c r="E60" s="10"/>
      <c r="F60" s="11"/>
      <c r="G60" s="12"/>
    </row>
    <row r="61" spans="1:7" ht="12.75">
      <c r="A61" s="7">
        <v>46</v>
      </c>
      <c r="B61" s="14" t="s">
        <v>365</v>
      </c>
      <c r="C61" s="23"/>
      <c r="D61" s="10">
        <v>10.26</v>
      </c>
      <c r="E61" s="10"/>
      <c r="F61" s="11"/>
      <c r="G61" s="12"/>
    </row>
    <row r="62" spans="1:7" ht="25.5">
      <c r="A62" s="7">
        <v>47</v>
      </c>
      <c r="B62" s="14" t="s">
        <v>324</v>
      </c>
      <c r="C62" s="21" t="s">
        <v>35</v>
      </c>
      <c r="D62" s="10">
        <v>324.03</v>
      </c>
      <c r="E62" s="10"/>
      <c r="F62" s="11"/>
      <c r="G62" s="12"/>
    </row>
    <row r="63" spans="1:7" ht="25.5">
      <c r="A63" s="7">
        <v>48</v>
      </c>
      <c r="B63" s="14" t="s">
        <v>325</v>
      </c>
      <c r="C63" s="21" t="s">
        <v>35</v>
      </c>
      <c r="D63" s="10">
        <v>191.37</v>
      </c>
      <c r="E63" s="10"/>
      <c r="F63" s="11"/>
      <c r="G63" s="12"/>
    </row>
    <row r="64" spans="1:7" ht="12.75">
      <c r="A64" s="7">
        <v>49</v>
      </c>
      <c r="B64" s="14" t="s">
        <v>326</v>
      </c>
      <c r="C64" s="21" t="s">
        <v>35</v>
      </c>
      <c r="D64" s="10">
        <v>135.3</v>
      </c>
      <c r="E64" s="10"/>
      <c r="F64" s="11"/>
      <c r="G64" s="12"/>
    </row>
    <row r="65" spans="1:7" ht="12.75">
      <c r="A65" s="7">
        <v>50</v>
      </c>
      <c r="B65" s="24" t="s">
        <v>327</v>
      </c>
      <c r="C65" s="21" t="s">
        <v>73</v>
      </c>
      <c r="D65" s="10">
        <v>2</v>
      </c>
      <c r="E65" s="10"/>
      <c r="F65" s="11"/>
      <c r="G65" s="12"/>
    </row>
    <row r="66" spans="1:7" ht="12.75">
      <c r="A66" s="7">
        <v>51</v>
      </c>
      <c r="B66" s="14" t="s">
        <v>328</v>
      </c>
      <c r="C66" s="21" t="s">
        <v>73</v>
      </c>
      <c r="D66" s="10">
        <v>2</v>
      </c>
      <c r="E66" s="10"/>
      <c r="F66" s="11"/>
      <c r="G66" s="12"/>
    </row>
    <row r="67" spans="1:7" ht="12.75">
      <c r="A67" s="7">
        <v>52</v>
      </c>
      <c r="B67" s="14" t="s">
        <v>329</v>
      </c>
      <c r="C67" s="21" t="s">
        <v>73</v>
      </c>
      <c r="D67" s="10">
        <v>2</v>
      </c>
      <c r="E67" s="10"/>
      <c r="F67" s="11"/>
      <c r="G67" s="12"/>
    </row>
    <row r="68" spans="1:7" ht="12.75">
      <c r="A68" s="7">
        <v>53</v>
      </c>
      <c r="B68" s="19" t="s">
        <v>330</v>
      </c>
      <c r="C68" s="21" t="s">
        <v>73</v>
      </c>
      <c r="D68" s="10">
        <v>4</v>
      </c>
      <c r="E68" s="10"/>
      <c r="F68" s="11"/>
      <c r="G68" s="12"/>
    </row>
    <row r="69" spans="1:7" ht="12.75">
      <c r="A69" s="7">
        <v>54</v>
      </c>
      <c r="B69" s="8" t="s">
        <v>331</v>
      </c>
      <c r="C69" s="21" t="s">
        <v>73</v>
      </c>
      <c r="D69" s="10">
        <v>2</v>
      </c>
      <c r="E69" s="10"/>
      <c r="F69" s="11"/>
      <c r="G69" s="12"/>
    </row>
    <row r="70" spans="1:7" ht="12.75">
      <c r="A70" s="7">
        <v>55</v>
      </c>
      <c r="B70" s="19" t="s">
        <v>332</v>
      </c>
      <c r="C70" s="21" t="s">
        <v>73</v>
      </c>
      <c r="D70" s="10">
        <v>2</v>
      </c>
      <c r="E70" s="10"/>
      <c r="F70" s="11"/>
      <c r="G70" s="12"/>
    </row>
    <row r="71" spans="1:7" ht="12.75">
      <c r="A71" s="7">
        <v>56</v>
      </c>
      <c r="B71" s="14" t="s">
        <v>333</v>
      </c>
      <c r="C71" s="21" t="s">
        <v>73</v>
      </c>
      <c r="D71" s="10">
        <v>2</v>
      </c>
      <c r="E71" s="10"/>
      <c r="F71" s="11"/>
      <c r="G71" s="12"/>
    </row>
    <row r="72" spans="1:7" ht="12.75">
      <c r="A72" s="7">
        <v>57</v>
      </c>
      <c r="B72" s="13" t="s">
        <v>334</v>
      </c>
      <c r="C72" s="21" t="s">
        <v>73</v>
      </c>
      <c r="D72" s="10">
        <v>2</v>
      </c>
      <c r="E72" s="10"/>
      <c r="F72" s="11"/>
      <c r="G72" s="12"/>
    </row>
    <row r="73" spans="1:7" ht="12.75">
      <c r="A73" s="7">
        <v>58</v>
      </c>
      <c r="B73" s="14" t="s">
        <v>335</v>
      </c>
      <c r="C73" s="21" t="s">
        <v>64</v>
      </c>
      <c r="D73" s="10">
        <v>12</v>
      </c>
      <c r="E73" s="10"/>
      <c r="F73" s="11"/>
      <c r="G73" s="12"/>
    </row>
    <row r="74" spans="1:7" ht="12.75">
      <c r="A74" s="7">
        <v>59</v>
      </c>
      <c r="B74" s="14" t="s">
        <v>338</v>
      </c>
      <c r="C74" s="21" t="s">
        <v>73</v>
      </c>
      <c r="D74" s="10">
        <v>4</v>
      </c>
      <c r="E74" s="10"/>
      <c r="F74" s="11"/>
      <c r="G74" s="12"/>
    </row>
    <row r="75" spans="1:7" ht="12.75">
      <c r="A75" s="7">
        <v>60</v>
      </c>
      <c r="B75" s="14" t="s">
        <v>336</v>
      </c>
      <c r="C75" s="21" t="s">
        <v>64</v>
      </c>
      <c r="D75" s="10">
        <v>7</v>
      </c>
      <c r="E75" s="10"/>
      <c r="F75" s="11"/>
      <c r="G75" s="12"/>
    </row>
    <row r="76" spans="1:7" ht="12.75">
      <c r="A76" s="7">
        <v>61</v>
      </c>
      <c r="B76" s="14" t="s">
        <v>337</v>
      </c>
      <c r="C76" s="21" t="s">
        <v>64</v>
      </c>
      <c r="D76" s="10">
        <v>3.5</v>
      </c>
      <c r="E76" s="10"/>
      <c r="F76" s="11"/>
      <c r="G76" s="12"/>
    </row>
    <row r="77" spans="1:7" ht="12.75">
      <c r="A77" s="7">
        <v>62</v>
      </c>
      <c r="B77" s="14" t="s">
        <v>339</v>
      </c>
      <c r="C77" s="21" t="s">
        <v>64</v>
      </c>
      <c r="D77" s="10">
        <v>24</v>
      </c>
      <c r="E77" s="10"/>
      <c r="F77" s="11"/>
      <c r="G77" s="12"/>
    </row>
    <row r="78" spans="1:7" ht="25.5">
      <c r="A78" s="7">
        <v>63</v>
      </c>
      <c r="B78" s="13" t="s">
        <v>340</v>
      </c>
      <c r="C78" s="21" t="s">
        <v>73</v>
      </c>
      <c r="D78" s="10">
        <v>3</v>
      </c>
      <c r="E78" s="10"/>
      <c r="F78" s="11"/>
      <c r="G78" s="12"/>
    </row>
    <row r="79" spans="1:7" ht="25.5">
      <c r="A79" s="7">
        <v>64</v>
      </c>
      <c r="B79" s="14" t="s">
        <v>368</v>
      </c>
      <c r="C79" s="21" t="s">
        <v>64</v>
      </c>
      <c r="D79" s="10">
        <v>90</v>
      </c>
      <c r="E79" s="10"/>
      <c r="F79" s="11"/>
      <c r="G79" s="12"/>
    </row>
    <row r="80" spans="1:7" ht="12.75">
      <c r="A80" s="7">
        <v>65</v>
      </c>
      <c r="B80" s="24" t="s">
        <v>341</v>
      </c>
      <c r="C80" s="21" t="s">
        <v>73</v>
      </c>
      <c r="D80" s="10">
        <v>1</v>
      </c>
      <c r="E80" s="10"/>
      <c r="F80" s="11"/>
      <c r="G80" s="12"/>
    </row>
    <row r="81" spans="1:7" ht="12.75">
      <c r="A81" s="7">
        <v>66</v>
      </c>
      <c r="B81" s="14" t="s">
        <v>360</v>
      </c>
      <c r="C81" s="21" t="s">
        <v>73</v>
      </c>
      <c r="D81" s="10">
        <v>15</v>
      </c>
      <c r="E81" s="10"/>
      <c r="F81" s="11"/>
      <c r="G81" s="12"/>
    </row>
    <row r="82" spans="1:7" ht="12.75">
      <c r="A82" s="7">
        <v>67</v>
      </c>
      <c r="B82" s="13" t="s">
        <v>342</v>
      </c>
      <c r="C82" s="21" t="s">
        <v>73</v>
      </c>
      <c r="D82" s="10">
        <v>10</v>
      </c>
      <c r="E82" s="10"/>
      <c r="F82" s="11"/>
      <c r="G82" s="12"/>
    </row>
    <row r="83" spans="1:7" ht="12.75">
      <c r="A83" s="7">
        <v>68</v>
      </c>
      <c r="B83" s="13" t="s">
        <v>343</v>
      </c>
      <c r="C83" s="21" t="s">
        <v>73</v>
      </c>
      <c r="D83" s="10">
        <v>10</v>
      </c>
      <c r="E83" s="10"/>
      <c r="F83" s="11"/>
      <c r="G83" s="12"/>
    </row>
    <row r="84" spans="1:7" ht="12.75">
      <c r="A84" s="7">
        <v>69</v>
      </c>
      <c r="B84" s="14" t="s">
        <v>344</v>
      </c>
      <c r="C84" s="21" t="s">
        <v>73</v>
      </c>
      <c r="D84" s="10">
        <v>10</v>
      </c>
      <c r="E84" s="10"/>
      <c r="F84" s="11"/>
      <c r="G84" s="12"/>
    </row>
    <row r="85" spans="1:7" ht="12.75">
      <c r="A85" s="7">
        <v>70</v>
      </c>
      <c r="B85" s="14" t="s">
        <v>345</v>
      </c>
      <c r="C85" s="21" t="s">
        <v>73</v>
      </c>
      <c r="D85" s="10">
        <v>10</v>
      </c>
      <c r="E85" s="10"/>
      <c r="F85" s="11"/>
      <c r="G85" s="12"/>
    </row>
    <row r="86" spans="1:7" ht="12.75">
      <c r="A86" s="7">
        <v>71</v>
      </c>
      <c r="B86" s="13" t="s">
        <v>346</v>
      </c>
      <c r="C86" s="21" t="s">
        <v>73</v>
      </c>
      <c r="D86" s="10">
        <v>5</v>
      </c>
      <c r="E86" s="10"/>
      <c r="F86" s="11"/>
      <c r="G86" s="12"/>
    </row>
    <row r="87" spans="1:7" ht="12.75">
      <c r="A87" s="7">
        <v>72</v>
      </c>
      <c r="B87" s="13" t="s">
        <v>347</v>
      </c>
      <c r="C87" s="21" t="s">
        <v>73</v>
      </c>
      <c r="D87" s="10">
        <v>10</v>
      </c>
      <c r="E87" s="10"/>
      <c r="F87" s="11"/>
      <c r="G87" s="30"/>
    </row>
    <row r="88" spans="1:7" ht="13.5" thickBot="1">
      <c r="A88" s="25"/>
      <c r="B88" s="26" t="s">
        <v>359</v>
      </c>
      <c r="C88" s="26"/>
      <c r="D88" s="26"/>
      <c r="E88" s="29"/>
      <c r="F88" s="29"/>
      <c r="G88" s="27"/>
    </row>
    <row r="89" ht="13.5" thickTop="1"/>
  </sheetData>
  <sheetProtection/>
  <printOptions/>
  <pageMargins left="0.75" right="0.75" top="1" bottom="1" header="0.3" footer="0.3"/>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asdsd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Microsoft Office User</cp:lastModifiedBy>
  <cp:lastPrinted>2007-10-13T16:32:55Z</cp:lastPrinted>
  <dcterms:created xsi:type="dcterms:W3CDTF">2007-05-16T09:38:59Z</dcterms:created>
  <dcterms:modified xsi:type="dcterms:W3CDTF">2017-01-10T05:54:38Z</dcterms:modified>
  <cp:category/>
  <cp:version/>
  <cp:contentType/>
  <cp:contentStatus/>
</cp:coreProperties>
</file>